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kishidaa\Documents\k93バリュエーション\dlファイル0704\"/>
    </mc:Choice>
  </mc:AlternateContent>
  <xr:revisionPtr revIDLastSave="0" documentId="13_ncr:1_{17E5BA50-B604-4BB9-925E-7804F3E12B8A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Historical Data Input" sheetId="19" r:id="rId1"/>
    <sheet name="Drivers&amp;Forecast" sheetId="27" r:id="rId2"/>
    <sheet name="Figures" sheetId="25" r:id="rId3"/>
    <sheet name="WACC" sheetId="1" r:id="rId4"/>
    <sheet name="DCF" sheetId="22" r:id="rId5"/>
    <sheet name="DCF Figure" sheetId="29" r:id="rId6"/>
    <sheet name="Multiples" sheetId="9" r:id="rId7"/>
    <sheet name="Summary" sheetId="2" r:id="rId8"/>
  </sheets>
  <definedNames>
    <definedName name="help" localSheetId="4" hidden="1">{"EVA",#N/A,FALSE,"SMT2";#N/A,#N/A,FALSE,"Summary";#N/A,#N/A,FALSE,"Graphs";#N/A,#N/A,FALSE,"4 Panel"}</definedName>
    <definedName name="help" localSheetId="1" hidden="1">{"EVA",#N/A,FALSE,"SMT2";#N/A,#N/A,FALSE,"Summary";#N/A,#N/A,FALSE,"Graphs";#N/A,#N/A,FALSE,"4 Panel"}</definedName>
    <definedName name="help" localSheetId="0" hidden="1">{"EVA",#N/A,FALSE,"SMT2";#N/A,#N/A,FALSE,"Summary";#N/A,#N/A,FALSE,"Graphs";#N/A,#N/A,FALSE,"4 Panel"}</definedName>
    <definedName name="help" hidden="1">{"EVA",#N/A,FALSE,"SMT2";#N/A,#N/A,FALSE,"Summary";#N/A,#N/A,FALSE,"Graphs";#N/A,#N/A,FALSE,"4 Panel"}</definedName>
    <definedName name="help2" localSheetId="4" hidden="1">{#N/A,#N/A,FALSE,"Full";#N/A,#N/A,FALSE,"Half";#N/A,#N/A,FALSE,"Op Expenses";#N/A,#N/A,FALSE,"Cap Charge";#N/A,#N/A,FALSE,"Cost C";#N/A,#N/A,FALSE,"PP&amp;E";#N/A,#N/A,FALSE,"R&amp;D"}</definedName>
    <definedName name="help2" localSheetId="1" hidden="1">{#N/A,#N/A,FALSE,"Full";#N/A,#N/A,FALSE,"Half";#N/A,#N/A,FALSE,"Op Expenses";#N/A,#N/A,FALSE,"Cap Charge";#N/A,#N/A,FALSE,"Cost C";#N/A,#N/A,FALSE,"PP&amp;E";#N/A,#N/A,FALSE,"R&amp;D"}</definedName>
    <definedName name="help2" localSheetId="0" hidden="1">{#N/A,#N/A,FALSE,"Full";#N/A,#N/A,FALSE,"Half";#N/A,#N/A,FALSE,"Op Expenses";#N/A,#N/A,FALSE,"Cap Charge";#N/A,#N/A,FALSE,"Cost C";#N/A,#N/A,FALSE,"PP&amp;E";#N/A,#N/A,FALSE,"R&amp;D"}</definedName>
    <definedName name="help2" hidden="1">{#N/A,#N/A,FALSE,"Full";#N/A,#N/A,FALSE,"Half";#N/A,#N/A,FALSE,"Op Expenses";#N/A,#N/A,FALSE,"Cap Charge";#N/A,#N/A,FALSE,"Cost C";#N/A,#N/A,FALSE,"PP&amp;E";#N/A,#N/A,FALSE,"R&amp;D"}</definedName>
    <definedName name="wrn.Book." localSheetId="4" hidden="1">{"EVA",#N/A,FALSE,"SMT2";#N/A,#N/A,FALSE,"Summary";#N/A,#N/A,FALSE,"Graphs";#N/A,#N/A,FALSE,"4 Panel"}</definedName>
    <definedName name="wrn.Book." localSheetId="1" hidden="1">{"EVA",#N/A,FALSE,"SMT2";#N/A,#N/A,FALSE,"Summary";#N/A,#N/A,FALSE,"Graphs";#N/A,#N/A,FALSE,"4 Panel"}</definedName>
    <definedName name="wrn.Book." localSheetId="0" hidden="1">{"EVA",#N/A,FALSE,"SMT2";#N/A,#N/A,FALSE,"Summary";#N/A,#N/A,FALSE,"Graphs";#N/A,#N/A,FALSE,"4 Panel"}</definedName>
    <definedName name="wrn.Book." hidden="1">{"EVA",#N/A,FALSE,"SMT2";#N/A,#N/A,FALSE,"Summary";#N/A,#N/A,FALSE,"Graphs";#N/A,#N/A,FALSE,"4 Panel"}</definedName>
    <definedName name="wrn.Complete." localSheetId="4" hidden="1">{#N/A,#N/A,FALSE,"SMT1";#N/A,#N/A,FALSE,"SMT2";#N/A,#N/A,FALSE,"Summary";#N/A,#N/A,FALSE,"Graphs";#N/A,#N/A,FALSE,"4 Panel"}</definedName>
    <definedName name="wrn.Complete." localSheetId="1" hidden="1">{#N/A,#N/A,FALSE,"SMT1";#N/A,#N/A,FALSE,"SMT2";#N/A,#N/A,FALSE,"Summary";#N/A,#N/A,FALSE,"Graphs";#N/A,#N/A,FALSE,"4 Panel"}</definedName>
    <definedName name="wrn.Complete." localSheetId="0" hidden="1">{#N/A,#N/A,FALSE,"SMT1";#N/A,#N/A,FALSE,"SMT2";#N/A,#N/A,FALSE,"Summary";#N/A,#N/A,FALSE,"Graphs";#N/A,#N/A,FALSE,"4 Panel"}</definedName>
    <definedName name="wrn.Complete." hidden="1">{#N/A,#N/A,FALSE,"SMT1";#N/A,#N/A,FALSE,"SMT2";#N/A,#N/A,FALSE,"Summary";#N/A,#N/A,FALSE,"Graphs";#N/A,#N/A,FALSE,"4 Panel"}</definedName>
    <definedName name="wrn.Complete._.Set." localSheetId="4" hidden="1">{#N/A,#N/A,FALSE,"Full";#N/A,#N/A,FALSE,"Half";#N/A,#N/A,FALSE,"Op Expenses";#N/A,#N/A,FALSE,"Cap Charge";#N/A,#N/A,FALSE,"Cost C";#N/A,#N/A,FALSE,"PP&amp;E";#N/A,#N/A,FALSE,"R&amp;D"}</definedName>
    <definedName name="wrn.Complete._.Set." localSheetId="1" hidden="1">{#N/A,#N/A,FALSE,"Full";#N/A,#N/A,FALSE,"Half";#N/A,#N/A,FALSE,"Op Expenses";#N/A,#N/A,FALSE,"Cap Charge";#N/A,#N/A,FALSE,"Cost C";#N/A,#N/A,FALSE,"PP&amp;E";#N/A,#N/A,FALSE,"R&amp;D"}</definedName>
    <definedName name="wrn.Complete._.Set." localSheetId="0" hidden="1">{#N/A,#N/A,FALSE,"Full";#N/A,#N/A,FALSE,"Half";#N/A,#N/A,FALSE,"Op Expenses";#N/A,#N/A,FALSE,"Cap Charge";#N/A,#N/A,FALSE,"Cost C";#N/A,#N/A,FALSE,"PP&amp;E";#N/A,#N/A,FALSE,"R&amp;D"}</definedName>
    <definedName name="wrn.Complete._.Set." hidden="1">{#N/A,#N/A,FALSE,"Full";#N/A,#N/A,FALSE,"Half";#N/A,#N/A,FALSE,"Op Expenses";#N/A,#N/A,FALSE,"Cap Charge";#N/A,#N/A,FALSE,"Cost C";#N/A,#N/A,FALSE,"PP&amp;E";#N/A,#N/A,FALSE,"R&amp;D"}</definedName>
    <definedName name="マッチングデータ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8" i="2" l="1"/>
  <c r="B9" i="2"/>
  <c r="B7" i="2"/>
  <c r="H23" i="9" l="1"/>
  <c r="G23" i="9"/>
  <c r="H22" i="9"/>
  <c r="G22" i="9"/>
  <c r="H21" i="9"/>
  <c r="D21" i="9"/>
  <c r="G21" i="9"/>
  <c r="B71" i="22" l="1"/>
  <c r="B70" i="22"/>
  <c r="K20" i="9"/>
  <c r="L20" i="9"/>
  <c r="J20" i="9"/>
  <c r="A13" i="2"/>
  <c r="B44" i="22"/>
  <c r="B40" i="22"/>
  <c r="B62" i="22"/>
  <c r="B61" i="22"/>
  <c r="B58" i="22"/>
  <c r="A14" i="22"/>
  <c r="B23" i="22"/>
  <c r="B13" i="1" l="1"/>
  <c r="B10" i="27"/>
  <c r="B51" i="27" s="1"/>
  <c r="H70" i="19" l="1"/>
  <c r="H103" i="27" s="1"/>
  <c r="H40" i="19"/>
  <c r="H23" i="19"/>
  <c r="G57" i="19"/>
  <c r="F57" i="19"/>
  <c r="E57" i="19"/>
  <c r="D57" i="19"/>
  <c r="G40" i="19"/>
  <c r="F40" i="19"/>
  <c r="E40" i="19"/>
  <c r="D40" i="19"/>
  <c r="G37" i="19"/>
  <c r="F37" i="19"/>
  <c r="E37" i="19"/>
  <c r="D37" i="19"/>
  <c r="E23" i="19"/>
  <c r="D23" i="19"/>
  <c r="L18" i="9" l="1"/>
  <c r="K18" i="9"/>
  <c r="L17" i="9"/>
  <c r="K17" i="9"/>
  <c r="L16" i="9"/>
  <c r="K16" i="9"/>
  <c r="C6" i="1" l="1"/>
  <c r="E13" i="19"/>
  <c r="I44" i="27" l="1"/>
  <c r="AB28" i="27" l="1"/>
  <c r="AA28" i="27"/>
  <c r="Z28" i="27"/>
  <c r="Y28" i="27"/>
  <c r="X28" i="27"/>
  <c r="H24" i="27"/>
  <c r="G24" i="27"/>
  <c r="F24" i="27"/>
  <c r="E24" i="27"/>
  <c r="D24" i="27"/>
  <c r="B24" i="27"/>
  <c r="B108" i="27"/>
  <c r="H106" i="27"/>
  <c r="B106" i="27"/>
  <c r="B105" i="27"/>
  <c r="B104" i="27"/>
  <c r="H53" i="27" l="1"/>
  <c r="E53" i="27"/>
  <c r="F53" i="27"/>
  <c r="G53" i="27"/>
  <c r="B6" i="29"/>
  <c r="B9" i="29"/>
  <c r="B7" i="29"/>
  <c r="D5" i="29"/>
  <c r="B5" i="29"/>
  <c r="B4" i="29"/>
  <c r="B3" i="29"/>
  <c r="G19" i="22" l="1"/>
  <c r="H19" i="22" s="1"/>
  <c r="I19" i="22" s="1"/>
  <c r="J19" i="22" s="1"/>
  <c r="G61" i="22"/>
  <c r="H61" i="22" s="1"/>
  <c r="I61" i="22" s="1"/>
  <c r="J61" i="22" s="1"/>
  <c r="B16" i="1"/>
  <c r="D65" i="19"/>
  <c r="D43" i="19"/>
  <c r="D25" i="27"/>
  <c r="F59" i="19"/>
  <c r="F43" i="19"/>
  <c r="E32" i="19"/>
  <c r="E27" i="27" s="1"/>
  <c r="E25" i="27"/>
  <c r="G65" i="19"/>
  <c r="H59" i="19"/>
  <c r="E43" i="19"/>
  <c r="E44" i="19" s="1"/>
  <c r="G43" i="19"/>
  <c r="H43" i="19"/>
  <c r="H39" i="27" s="1"/>
  <c r="H105" i="27"/>
  <c r="H104" i="27"/>
  <c r="G25" i="27"/>
  <c r="H65" i="19"/>
  <c r="E65" i="19"/>
  <c r="F65" i="19"/>
  <c r="G59" i="19"/>
  <c r="E59" i="19"/>
  <c r="D59" i="19"/>
  <c r="B52" i="19"/>
  <c r="C11" i="9"/>
  <c r="D76" i="22"/>
  <c r="B85" i="22"/>
  <c r="A85" i="22"/>
  <c r="B84" i="22"/>
  <c r="A84" i="22"/>
  <c r="B82" i="22"/>
  <c r="A82" i="22"/>
  <c r="A81" i="22"/>
  <c r="B80" i="22"/>
  <c r="A80" i="22"/>
  <c r="B77" i="22"/>
  <c r="A77" i="22"/>
  <c r="B76" i="22"/>
  <c r="A76" i="22"/>
  <c r="B75" i="22"/>
  <c r="A75" i="22"/>
  <c r="B53" i="22"/>
  <c r="B54" i="22"/>
  <c r="B52" i="22"/>
  <c r="A2" i="2"/>
  <c r="A1" i="2"/>
  <c r="F1" i="9"/>
  <c r="E1" i="9"/>
  <c r="A2" i="9"/>
  <c r="A1" i="9"/>
  <c r="B24" i="22"/>
  <c r="B9" i="22"/>
  <c r="B8" i="22"/>
  <c r="A9" i="9"/>
  <c r="E1" i="22"/>
  <c r="E2" i="22"/>
  <c r="D2" i="22"/>
  <c r="D1" i="22"/>
  <c r="A2" i="22"/>
  <c r="A1" i="22"/>
  <c r="A9" i="27"/>
  <c r="A8" i="27"/>
  <c r="B9" i="27"/>
  <c r="B8" i="27"/>
  <c r="B7" i="27"/>
  <c r="D41" i="22"/>
  <c r="D8" i="29" s="1"/>
  <c r="D38" i="22"/>
  <c r="B39" i="22"/>
  <c r="B79" i="22" s="1"/>
  <c r="B38" i="22"/>
  <c r="B78" i="22" s="1"/>
  <c r="D44" i="22"/>
  <c r="D84" i="22" s="1"/>
  <c r="D34" i="22"/>
  <c r="D74" i="22" s="1"/>
  <c r="D33" i="22"/>
  <c r="D73" i="22" s="1"/>
  <c r="D32" i="22"/>
  <c r="B34" i="22"/>
  <c r="B74" i="22" s="1"/>
  <c r="B33" i="22"/>
  <c r="B73" i="22" s="1"/>
  <c r="B32" i="22"/>
  <c r="B72" i="22" s="1"/>
  <c r="E10" i="27"/>
  <c r="F10" i="27"/>
  <c r="G10" i="27"/>
  <c r="H10" i="27"/>
  <c r="D10" i="27"/>
  <c r="B82" i="27"/>
  <c r="A83" i="27"/>
  <c r="B83" i="27"/>
  <c r="B80" i="27"/>
  <c r="B73" i="27"/>
  <c r="B50" i="27" s="1"/>
  <c r="B7" i="22" s="1"/>
  <c r="C18" i="1"/>
  <c r="A14" i="2"/>
  <c r="C14" i="2"/>
  <c r="D26" i="27"/>
  <c r="E26" i="27"/>
  <c r="D29" i="27"/>
  <c r="E29" i="27"/>
  <c r="D35" i="27"/>
  <c r="E35" i="27"/>
  <c r="D36" i="27"/>
  <c r="E36" i="27"/>
  <c r="D20" i="27"/>
  <c r="E20" i="27"/>
  <c r="D21" i="27"/>
  <c r="E21" i="27"/>
  <c r="D22" i="27"/>
  <c r="E22" i="27"/>
  <c r="D38" i="27"/>
  <c r="E38" i="27"/>
  <c r="H25" i="27"/>
  <c r="G26" i="27"/>
  <c r="H26" i="27"/>
  <c r="G29" i="27"/>
  <c r="H29" i="27"/>
  <c r="G35" i="27"/>
  <c r="H35" i="27"/>
  <c r="G36" i="27"/>
  <c r="G20" i="27"/>
  <c r="H20" i="27"/>
  <c r="G21" i="27"/>
  <c r="H21" i="27"/>
  <c r="J21" i="27" s="1"/>
  <c r="K21" i="27" s="1"/>
  <c r="L21" i="27" s="1"/>
  <c r="M21" i="27" s="1"/>
  <c r="N21" i="27" s="1"/>
  <c r="G22" i="27"/>
  <c r="H22" i="27"/>
  <c r="J22" i="27" s="1"/>
  <c r="K22" i="27" s="1"/>
  <c r="G38" i="27"/>
  <c r="H38" i="27"/>
  <c r="C17" i="1" s="1"/>
  <c r="F38" i="27"/>
  <c r="F22" i="27"/>
  <c r="F21" i="27"/>
  <c r="F20" i="27"/>
  <c r="F36" i="27"/>
  <c r="F35" i="27"/>
  <c r="F29" i="27"/>
  <c r="F25" i="27"/>
  <c r="F26" i="27"/>
  <c r="A39" i="27"/>
  <c r="A38" i="27"/>
  <c r="B17" i="1" s="1"/>
  <c r="B22" i="27"/>
  <c r="B21" i="27"/>
  <c r="B20" i="27"/>
  <c r="B36" i="27"/>
  <c r="B35" i="27"/>
  <c r="B31" i="27"/>
  <c r="B30" i="27"/>
  <c r="B29" i="27"/>
  <c r="B27" i="27"/>
  <c r="B25" i="27"/>
  <c r="B26" i="27"/>
  <c r="Z32" i="27"/>
  <c r="AA32" i="27"/>
  <c r="X32" i="27"/>
  <c r="AB32" i="27"/>
  <c r="Y32" i="27"/>
  <c r="C4" i="1"/>
  <c r="E2" i="27"/>
  <c r="D2" i="27"/>
  <c r="E1" i="27"/>
  <c r="J18" i="9"/>
  <c r="C9" i="9"/>
  <c r="G9" i="9" s="1"/>
  <c r="A22" i="9"/>
  <c r="A23" i="9"/>
  <c r="A21" i="9"/>
  <c r="A6" i="9"/>
  <c r="A8" i="9"/>
  <c r="A7" i="9"/>
  <c r="C6" i="9"/>
  <c r="C13" i="1"/>
  <c r="B41" i="22"/>
  <c r="B8" i="29" s="1"/>
  <c r="D1" i="27"/>
  <c r="A1" i="27"/>
  <c r="H17" i="19"/>
  <c r="H50" i="19" s="1"/>
  <c r="G36" i="19"/>
  <c r="G31" i="27" s="1"/>
  <c r="F36" i="19"/>
  <c r="F31" i="27" s="1"/>
  <c r="H32" i="19"/>
  <c r="H27" i="27" s="1"/>
  <c r="G32" i="19"/>
  <c r="G27" i="27" s="1"/>
  <c r="D32" i="19"/>
  <c r="D27" i="27" s="1"/>
  <c r="E36" i="19"/>
  <c r="E31" i="27" s="1"/>
  <c r="D36" i="19"/>
  <c r="D31" i="27" s="1"/>
  <c r="F32" i="19"/>
  <c r="F27" i="27" s="1"/>
  <c r="H24" i="19"/>
  <c r="G24" i="19"/>
  <c r="G27" i="19" s="1"/>
  <c r="G30" i="27" s="1"/>
  <c r="D24" i="19"/>
  <c r="D27" i="19" s="1"/>
  <c r="D30" i="27" s="1"/>
  <c r="F24" i="19"/>
  <c r="F27" i="19" s="1"/>
  <c r="F30" i="27" s="1"/>
  <c r="S12" i="27"/>
  <c r="T12" i="27"/>
  <c r="U12" i="27"/>
  <c r="A2" i="27"/>
  <c r="H5" i="27"/>
  <c r="U5" i="27" s="1"/>
  <c r="D8" i="27"/>
  <c r="E8" i="27"/>
  <c r="F8" i="27"/>
  <c r="G8" i="27"/>
  <c r="H8" i="27"/>
  <c r="D9" i="27"/>
  <c r="E9" i="27"/>
  <c r="E7" i="27"/>
  <c r="R24" i="27" s="1"/>
  <c r="F7" i="27"/>
  <c r="G7" i="27"/>
  <c r="T24" i="27" s="1"/>
  <c r="H7" i="27"/>
  <c r="U24" i="27" s="1"/>
  <c r="D7" i="27"/>
  <c r="Q24" i="27" s="1"/>
  <c r="AB11" i="27"/>
  <c r="AA11" i="27"/>
  <c r="Z11" i="27"/>
  <c r="Y11" i="27"/>
  <c r="X11" i="27"/>
  <c r="G13" i="19"/>
  <c r="G52" i="19" s="1"/>
  <c r="G54" i="19" s="1"/>
  <c r="F13" i="19"/>
  <c r="F52" i="19" s="1"/>
  <c r="F54" i="19" s="1"/>
  <c r="E10" i="19"/>
  <c r="E76" i="19" s="1"/>
  <c r="D10" i="19"/>
  <c r="D76" i="19" s="1"/>
  <c r="H9" i="27"/>
  <c r="F9" i="27"/>
  <c r="G10" i="19"/>
  <c r="G76" i="19" s="1"/>
  <c r="G5" i="19"/>
  <c r="F5" i="19" s="1"/>
  <c r="C12" i="1"/>
  <c r="C8" i="1"/>
  <c r="J17" i="9"/>
  <c r="J16" i="9"/>
  <c r="G9" i="27"/>
  <c r="F10" i="19"/>
  <c r="F76" i="19" s="1"/>
  <c r="H10" i="19"/>
  <c r="H76" i="19" s="1"/>
  <c r="Q12" i="27"/>
  <c r="D13" i="19"/>
  <c r="D52" i="19" s="1"/>
  <c r="D54" i="19" s="1"/>
  <c r="R12" i="27"/>
  <c r="E52" i="19"/>
  <c r="E54" i="19" s="1"/>
  <c r="H13" i="19"/>
  <c r="D23" i="9" l="1"/>
  <c r="C23" i="9"/>
  <c r="F23" i="9"/>
  <c r="E23" i="9"/>
  <c r="C14" i="1"/>
  <c r="C8" i="9"/>
  <c r="G8" i="9" s="1"/>
  <c r="H44" i="19"/>
  <c r="H78" i="19" s="1"/>
  <c r="H27" i="19"/>
  <c r="H30" i="27" s="1"/>
  <c r="K23" i="9"/>
  <c r="E9" i="2" s="1"/>
  <c r="L23" i="9"/>
  <c r="G9" i="2" s="1"/>
  <c r="G17" i="19"/>
  <c r="G18" i="27" s="1"/>
  <c r="G71" i="27" s="1"/>
  <c r="G48" i="27" s="1"/>
  <c r="B81" i="22"/>
  <c r="S9" i="27"/>
  <c r="E77" i="19"/>
  <c r="E37" i="27"/>
  <c r="E39" i="27"/>
  <c r="H77" i="19"/>
  <c r="D35" i="22"/>
  <c r="D4" i="29" s="1"/>
  <c r="C7" i="9"/>
  <c r="G7" i="9" s="1"/>
  <c r="G39" i="27"/>
  <c r="G44" i="19"/>
  <c r="G77" i="19"/>
  <c r="D77" i="19"/>
  <c r="D39" i="27"/>
  <c r="D44" i="19"/>
  <c r="F5" i="27"/>
  <c r="S5" i="27" s="1"/>
  <c r="E5" i="19"/>
  <c r="F17" i="19"/>
  <c r="J23" i="9"/>
  <c r="C9" i="2" s="1"/>
  <c r="E46" i="19"/>
  <c r="E78" i="19"/>
  <c r="F44" i="19"/>
  <c r="F39" i="27"/>
  <c r="F77" i="19"/>
  <c r="H18" i="27"/>
  <c r="H71" i="27" s="1"/>
  <c r="E24" i="19"/>
  <c r="E27" i="19" s="1"/>
  <c r="E30" i="27" s="1"/>
  <c r="F60" i="27" s="1"/>
  <c r="D72" i="22"/>
  <c r="D75" i="22" s="1"/>
  <c r="D78" i="22"/>
  <c r="D81" i="22"/>
  <c r="H107" i="27"/>
  <c r="H52" i="19"/>
  <c r="H54" i="19" s="1"/>
  <c r="G5" i="27"/>
  <c r="T5" i="27" s="1"/>
  <c r="H36" i="19"/>
  <c r="H31" i="27" s="1"/>
  <c r="U31" i="27" s="1"/>
  <c r="H36" i="27"/>
  <c r="H37" i="27" s="1"/>
  <c r="H40" i="27" s="1"/>
  <c r="H108" i="27" s="1"/>
  <c r="D39" i="22"/>
  <c r="D79" i="22" s="1"/>
  <c r="E23" i="27"/>
  <c r="L22" i="27"/>
  <c r="M22" i="27" s="1"/>
  <c r="N22" i="27" s="1"/>
  <c r="H23" i="27"/>
  <c r="J20" i="27"/>
  <c r="F37" i="27"/>
  <c r="G23" i="27"/>
  <c r="D23" i="27"/>
  <c r="H28" i="27"/>
  <c r="E28" i="27"/>
  <c r="F28" i="27"/>
  <c r="F23" i="27"/>
  <c r="G28" i="27"/>
  <c r="D28" i="27"/>
  <c r="D37" i="27"/>
  <c r="G37" i="27"/>
  <c r="S24" i="27"/>
  <c r="V24" i="27" s="1"/>
  <c r="Q27" i="27"/>
  <c r="E11" i="27"/>
  <c r="E13" i="27" s="1"/>
  <c r="R13" i="27" s="1"/>
  <c r="R26" i="27"/>
  <c r="E55" i="27"/>
  <c r="H60" i="27"/>
  <c r="V12" i="27"/>
  <c r="G55" i="27"/>
  <c r="G54" i="27"/>
  <c r="T8" i="27"/>
  <c r="E56" i="27"/>
  <c r="G60" i="27"/>
  <c r="Q31" i="27"/>
  <c r="R7" i="27"/>
  <c r="R31" i="27"/>
  <c r="Q25" i="27"/>
  <c r="R9" i="27"/>
  <c r="F11" i="27"/>
  <c r="F13" i="27" s="1"/>
  <c r="S13" i="27" s="1"/>
  <c r="B51" i="22"/>
  <c r="R29" i="27"/>
  <c r="D11" i="27"/>
  <c r="D13" i="27" s="1"/>
  <c r="Q13" i="27" s="1"/>
  <c r="Q8" i="27"/>
  <c r="T25" i="27"/>
  <c r="T30" i="27"/>
  <c r="S27" i="27"/>
  <c r="R27" i="27"/>
  <c r="F54" i="27"/>
  <c r="S30" i="27"/>
  <c r="U9" i="27"/>
  <c r="Q26" i="27"/>
  <c r="Q9" i="27"/>
  <c r="R8" i="27"/>
  <c r="E54" i="27"/>
  <c r="T27" i="27"/>
  <c r="J5" i="27"/>
  <c r="R25" i="27"/>
  <c r="F32" i="27"/>
  <c r="S10" i="27"/>
  <c r="T18" i="27"/>
  <c r="G51" i="27"/>
  <c r="G59" i="27" s="1"/>
  <c r="T10" i="27"/>
  <c r="T9" i="27"/>
  <c r="G11" i="27"/>
  <c r="U26" i="27"/>
  <c r="J7" i="27"/>
  <c r="J24" i="27" s="1"/>
  <c r="U25" i="27"/>
  <c r="U27" i="27"/>
  <c r="H11" i="27"/>
  <c r="U7" i="27"/>
  <c r="U30" i="27"/>
  <c r="U8" i="27"/>
  <c r="U29" i="27"/>
  <c r="S8" i="27"/>
  <c r="Q30" i="27"/>
  <c r="F56" i="27"/>
  <c r="S31" i="27"/>
  <c r="G32" i="27"/>
  <c r="T31" i="27"/>
  <c r="G56" i="27"/>
  <c r="D51" i="27"/>
  <c r="Q10" i="27"/>
  <c r="E51" i="27"/>
  <c r="E59" i="27" s="1"/>
  <c r="R10" i="27"/>
  <c r="S25" i="27"/>
  <c r="S29" i="27"/>
  <c r="T7" i="27"/>
  <c r="S7" i="27"/>
  <c r="F55" i="27"/>
  <c r="S26" i="27"/>
  <c r="H55" i="27"/>
  <c r="T26" i="27"/>
  <c r="D32" i="27"/>
  <c r="Q29" i="27"/>
  <c r="U10" i="27"/>
  <c r="H54" i="27"/>
  <c r="H51" i="27"/>
  <c r="H59" i="27" s="1"/>
  <c r="F51" i="27"/>
  <c r="F59" i="27" s="1"/>
  <c r="T29" i="27"/>
  <c r="H46" i="19" l="1"/>
  <c r="C21" i="9"/>
  <c r="F21" i="9"/>
  <c r="E21" i="9"/>
  <c r="J22" i="9"/>
  <c r="C8" i="2" s="1"/>
  <c r="F22" i="9"/>
  <c r="E22" i="9"/>
  <c r="D22" i="9"/>
  <c r="C22" i="9"/>
  <c r="G50" i="19"/>
  <c r="K22" i="9"/>
  <c r="E8" i="2" s="1"/>
  <c r="L22" i="9"/>
  <c r="G8" i="2" s="1"/>
  <c r="K21" i="9"/>
  <c r="E7" i="2" s="1"/>
  <c r="L21" i="9"/>
  <c r="G7" i="2" s="1"/>
  <c r="H48" i="27"/>
  <c r="D5" i="22" s="1"/>
  <c r="D49" i="22" s="1"/>
  <c r="E44" i="27"/>
  <c r="J71" i="27"/>
  <c r="K71" i="27" s="1"/>
  <c r="L71" i="27" s="1"/>
  <c r="M71" i="27" s="1"/>
  <c r="N71" i="27" s="1"/>
  <c r="U18" i="27"/>
  <c r="E40" i="27"/>
  <c r="D44" i="27"/>
  <c r="F44" i="27"/>
  <c r="H109" i="27"/>
  <c r="H32" i="27"/>
  <c r="H44" i="27"/>
  <c r="J21" i="9"/>
  <c r="C7" i="2" s="1"/>
  <c r="J18" i="27"/>
  <c r="X18" i="27" s="1"/>
  <c r="D78" i="19"/>
  <c r="D46" i="19"/>
  <c r="E17" i="19"/>
  <c r="D5" i="19"/>
  <c r="E5" i="27"/>
  <c r="R5" i="27" s="1"/>
  <c r="D40" i="27"/>
  <c r="F50" i="19"/>
  <c r="F18" i="27"/>
  <c r="G78" i="19"/>
  <c r="G46" i="19"/>
  <c r="F61" i="27"/>
  <c r="H56" i="27"/>
  <c r="E60" i="27"/>
  <c r="E61" i="27" s="1"/>
  <c r="U28" i="27"/>
  <c r="R28" i="27"/>
  <c r="F40" i="27"/>
  <c r="R30" i="27"/>
  <c r="V30" i="27" s="1"/>
  <c r="E32" i="27"/>
  <c r="E33" i="27" s="1"/>
  <c r="F86" i="27" s="1"/>
  <c r="T28" i="27"/>
  <c r="G40" i="27"/>
  <c r="G44" i="27"/>
  <c r="D80" i="22"/>
  <c r="F78" i="19"/>
  <c r="F46" i="19"/>
  <c r="D40" i="22"/>
  <c r="D7" i="29" s="1"/>
  <c r="Q28" i="27"/>
  <c r="F33" i="27"/>
  <c r="G74" i="27" s="1"/>
  <c r="S23" i="27"/>
  <c r="F52" i="27"/>
  <c r="D33" i="27"/>
  <c r="E74" i="27" s="1"/>
  <c r="Q23" i="27"/>
  <c r="U23" i="27"/>
  <c r="H52" i="27"/>
  <c r="T23" i="27"/>
  <c r="G52" i="27"/>
  <c r="R23" i="27"/>
  <c r="E52" i="27"/>
  <c r="K20" i="27"/>
  <c r="J23" i="27"/>
  <c r="H61" i="27"/>
  <c r="D9" i="22" s="1"/>
  <c r="G33" i="27"/>
  <c r="H33" i="27"/>
  <c r="J74" i="27" s="1"/>
  <c r="S28" i="27"/>
  <c r="J53" i="27"/>
  <c r="G61" i="27"/>
  <c r="E14" i="27"/>
  <c r="E50" i="27" s="1"/>
  <c r="U32" i="27"/>
  <c r="V27" i="27"/>
  <c r="C16" i="1"/>
  <c r="C19" i="1" s="1"/>
  <c r="R11" i="27"/>
  <c r="F14" i="27"/>
  <c r="F50" i="27" s="1"/>
  <c r="V9" i="27"/>
  <c r="Q11" i="27"/>
  <c r="V8" i="27"/>
  <c r="T32" i="27"/>
  <c r="D14" i="27"/>
  <c r="V7" i="27"/>
  <c r="X5" i="27"/>
  <c r="K5" i="27"/>
  <c r="V26" i="27"/>
  <c r="V31" i="27"/>
  <c r="Q32" i="27"/>
  <c r="V29" i="27"/>
  <c r="J48" i="27"/>
  <c r="J26" i="27"/>
  <c r="J55" i="27" s="1"/>
  <c r="J25" i="27"/>
  <c r="J54" i="27" s="1"/>
  <c r="J9" i="27"/>
  <c r="J10" i="27"/>
  <c r="J51" i="27" s="1"/>
  <c r="J29" i="27"/>
  <c r="J8" i="27"/>
  <c r="J30" i="27"/>
  <c r="J60" i="27" s="1"/>
  <c r="J27" i="27"/>
  <c r="K7" i="27"/>
  <c r="K24" i="27" s="1"/>
  <c r="K53" i="27" s="1"/>
  <c r="J31" i="27"/>
  <c r="H13" i="27"/>
  <c r="U13" i="27" s="1"/>
  <c r="S32" i="27"/>
  <c r="S11" i="27"/>
  <c r="G13" i="27"/>
  <c r="T13" i="27" s="1"/>
  <c r="V10" i="27"/>
  <c r="U11" i="27"/>
  <c r="T11" i="27"/>
  <c r="V25" i="27"/>
  <c r="K18" i="27" l="1"/>
  <c r="Y18" i="27" s="1"/>
  <c r="R32" i="27"/>
  <c r="R33" i="27" s="1"/>
  <c r="J86" i="27"/>
  <c r="U33" i="27"/>
  <c r="D17" i="19"/>
  <c r="D5" i="27"/>
  <c r="Q5" i="27" s="1"/>
  <c r="Q33" i="27"/>
  <c r="E57" i="27"/>
  <c r="E63" i="27" s="1"/>
  <c r="E50" i="19"/>
  <c r="E18" i="27"/>
  <c r="S18" i="27"/>
  <c r="F71" i="27"/>
  <c r="F48" i="27" s="1"/>
  <c r="E86" i="27"/>
  <c r="T33" i="27"/>
  <c r="X23" i="27"/>
  <c r="J52" i="27"/>
  <c r="V23" i="27"/>
  <c r="V28" i="27"/>
  <c r="F57" i="27"/>
  <c r="F63" i="27" s="1"/>
  <c r="F65" i="27" s="1"/>
  <c r="S33" i="27"/>
  <c r="F52" i="22"/>
  <c r="D69" i="22" s="1"/>
  <c r="J82" i="27"/>
  <c r="J28" i="27"/>
  <c r="F85" i="27"/>
  <c r="L20" i="27"/>
  <c r="K23" i="27"/>
  <c r="E85" i="27"/>
  <c r="R14" i="27"/>
  <c r="E79" i="27"/>
  <c r="F79" i="27"/>
  <c r="F73" i="27"/>
  <c r="S14" i="27"/>
  <c r="E73" i="27"/>
  <c r="C21" i="1"/>
  <c r="C22" i="1" s="1"/>
  <c r="C23" i="1" s="1"/>
  <c r="J11" i="27"/>
  <c r="J13" i="27" s="1"/>
  <c r="X13" i="27" s="1"/>
  <c r="F74" i="27"/>
  <c r="F82" i="27" s="1"/>
  <c r="G86" i="27"/>
  <c r="J56" i="27"/>
  <c r="D50" i="27"/>
  <c r="E15" i="27" s="1"/>
  <c r="D85" i="27"/>
  <c r="Q14" i="27"/>
  <c r="V11" i="27"/>
  <c r="L5" i="27"/>
  <c r="Y5" i="27"/>
  <c r="G14" i="27"/>
  <c r="G79" i="27" s="1"/>
  <c r="V32" i="27"/>
  <c r="H74" i="27"/>
  <c r="H86" i="27"/>
  <c r="E82" i="27"/>
  <c r="V13" i="27"/>
  <c r="H14" i="27"/>
  <c r="G82" i="27"/>
  <c r="K26" i="27"/>
  <c r="K55" i="27" s="1"/>
  <c r="K25" i="27"/>
  <c r="K54" i="27" s="1"/>
  <c r="K30" i="27"/>
  <c r="K60" i="27" s="1"/>
  <c r="K29" i="27"/>
  <c r="K10" i="27"/>
  <c r="K51" i="27" s="1"/>
  <c r="K8" i="27"/>
  <c r="K27" i="27"/>
  <c r="L7" i="27"/>
  <c r="L24" i="27" s="1"/>
  <c r="L53" i="27" s="1"/>
  <c r="K31" i="27"/>
  <c r="K9" i="27"/>
  <c r="K48" i="27"/>
  <c r="F5" i="22"/>
  <c r="F49" i="22" s="1"/>
  <c r="J32" i="27"/>
  <c r="J59" i="27"/>
  <c r="J61" i="27" s="1"/>
  <c r="F9" i="22" s="1"/>
  <c r="F15" i="27"/>
  <c r="L18" i="27" l="1"/>
  <c r="Z18" i="27" s="1"/>
  <c r="R18" i="27"/>
  <c r="E71" i="27"/>
  <c r="E48" i="27" s="1"/>
  <c r="F88" i="27"/>
  <c r="D50" i="19"/>
  <c r="D18" i="27"/>
  <c r="E88" i="27"/>
  <c r="Y23" i="27"/>
  <c r="K52" i="27"/>
  <c r="V33" i="27"/>
  <c r="M20" i="27"/>
  <c r="L23" i="27"/>
  <c r="J33" i="27"/>
  <c r="G73" i="27"/>
  <c r="K28" i="27"/>
  <c r="F64" i="27"/>
  <c r="D17" i="22"/>
  <c r="E75" i="27"/>
  <c r="E65" i="27"/>
  <c r="E91" i="27" s="1"/>
  <c r="E93" i="27" s="1"/>
  <c r="G85" i="27"/>
  <c r="F91" i="27"/>
  <c r="F93" i="27" s="1"/>
  <c r="F67" i="27"/>
  <c r="K11" i="27"/>
  <c r="K13" i="27" s="1"/>
  <c r="Y13" i="27" s="1"/>
  <c r="G50" i="27"/>
  <c r="G15" i="27" s="1"/>
  <c r="T14" i="27"/>
  <c r="Z5" i="27"/>
  <c r="M5" i="27"/>
  <c r="K56" i="27"/>
  <c r="K59" i="27"/>
  <c r="K61" i="27" s="1"/>
  <c r="G9" i="22" s="1"/>
  <c r="K32" i="27"/>
  <c r="H82" i="27"/>
  <c r="D52" i="22"/>
  <c r="H50" i="27"/>
  <c r="H57" i="27" s="1"/>
  <c r="H79" i="27"/>
  <c r="U14" i="27"/>
  <c r="H85" i="27"/>
  <c r="H73" i="27"/>
  <c r="L31" i="27"/>
  <c r="L10" i="27"/>
  <c r="L51" i="27" s="1"/>
  <c r="L29" i="27"/>
  <c r="L26" i="27"/>
  <c r="L55" i="27" s="1"/>
  <c r="L8" i="27"/>
  <c r="L27" i="27"/>
  <c r="M7" i="27"/>
  <c r="M24" i="27" s="1"/>
  <c r="M53" i="27" s="1"/>
  <c r="L25" i="27"/>
  <c r="L54" i="27" s="1"/>
  <c r="L9" i="27"/>
  <c r="L30" i="27"/>
  <c r="L60" i="27" s="1"/>
  <c r="G5" i="22"/>
  <c r="G49" i="22" s="1"/>
  <c r="L48" i="27"/>
  <c r="J14" i="27"/>
  <c r="G88" i="27"/>
  <c r="M18" i="27" l="1"/>
  <c r="AA18" i="27" s="1"/>
  <c r="Q18" i="27"/>
  <c r="D71" i="27"/>
  <c r="D48" i="27" s="1"/>
  <c r="G57" i="27"/>
  <c r="G63" i="27" s="1"/>
  <c r="Z23" i="27"/>
  <c r="L52" i="27"/>
  <c r="L28" i="27"/>
  <c r="K33" i="27"/>
  <c r="N20" i="27"/>
  <c r="N23" i="27" s="1"/>
  <c r="M23" i="27"/>
  <c r="E80" i="27"/>
  <c r="E81" i="27" s="1"/>
  <c r="E83" i="27" s="1"/>
  <c r="F75" i="27"/>
  <c r="E76" i="27"/>
  <c r="E77" i="27" s="1"/>
  <c r="G62" i="22"/>
  <c r="I62" i="22"/>
  <c r="H62" i="22"/>
  <c r="F20" i="22"/>
  <c r="H20" i="22"/>
  <c r="I20" i="22"/>
  <c r="F62" i="22"/>
  <c r="J20" i="22"/>
  <c r="G20" i="22"/>
  <c r="J62" i="22"/>
  <c r="E67" i="27"/>
  <c r="L11" i="27"/>
  <c r="L13" i="27" s="1"/>
  <c r="Z13" i="27" s="1"/>
  <c r="AA5" i="27"/>
  <c r="N5" i="27"/>
  <c r="AB5" i="27" s="1"/>
  <c r="K14" i="27"/>
  <c r="K79" i="27" s="1"/>
  <c r="M48" i="27"/>
  <c r="H5" i="22"/>
  <c r="H49" i="22" s="1"/>
  <c r="J73" i="27"/>
  <c r="X14" i="27"/>
  <c r="X33" i="27" s="1"/>
  <c r="J79" i="27"/>
  <c r="J85" i="27"/>
  <c r="J50" i="27"/>
  <c r="J57" i="27" s="1"/>
  <c r="L56" i="27"/>
  <c r="D51" i="22"/>
  <c r="D7" i="22"/>
  <c r="H15" i="27"/>
  <c r="K74" i="27"/>
  <c r="K86" i="27"/>
  <c r="M27" i="27"/>
  <c r="M30" i="27"/>
  <c r="M60" i="27" s="1"/>
  <c r="M25" i="27"/>
  <c r="M54" i="27" s="1"/>
  <c r="M9" i="27"/>
  <c r="M31" i="27"/>
  <c r="M8" i="27"/>
  <c r="M26" i="27"/>
  <c r="M55" i="27" s="1"/>
  <c r="M10" i="27"/>
  <c r="M51" i="27" s="1"/>
  <c r="N7" i="27"/>
  <c r="N24" i="27" s="1"/>
  <c r="N53" i="27" s="1"/>
  <c r="M29" i="27"/>
  <c r="H88" i="27"/>
  <c r="L32" i="27"/>
  <c r="L59" i="27"/>
  <c r="L61" i="27" s="1"/>
  <c r="H9" i="22" s="1"/>
  <c r="V14" i="27"/>
  <c r="N18" i="27" l="1"/>
  <c r="AB18" i="27" s="1"/>
  <c r="K50" i="27"/>
  <c r="K57" i="27" s="1"/>
  <c r="G64" i="27"/>
  <c r="G65" i="27"/>
  <c r="G67" i="27" s="1"/>
  <c r="AA23" i="27"/>
  <c r="M52" i="27"/>
  <c r="AB23" i="27"/>
  <c r="N52" i="27"/>
  <c r="M28" i="27"/>
  <c r="L33" i="27"/>
  <c r="F76" i="27"/>
  <c r="F77" i="27" s="1"/>
  <c r="F80" i="27"/>
  <c r="F81" i="27" s="1"/>
  <c r="F83" i="27" s="1"/>
  <c r="G75" i="27"/>
  <c r="Y14" i="27"/>
  <c r="Y33" i="27" s="1"/>
  <c r="K85" i="27"/>
  <c r="K88" i="27" s="1"/>
  <c r="K73" i="27"/>
  <c r="G51" i="22" s="1"/>
  <c r="M11" i="27"/>
  <c r="M13" i="27" s="1"/>
  <c r="AA13" i="27" s="1"/>
  <c r="M56" i="27"/>
  <c r="J88" i="27"/>
  <c r="L74" i="27"/>
  <c r="L86" i="27"/>
  <c r="N29" i="27"/>
  <c r="N30" i="27"/>
  <c r="N60" i="27" s="1"/>
  <c r="N27" i="27"/>
  <c r="N10" i="27"/>
  <c r="N51" i="27" s="1"/>
  <c r="N9" i="27"/>
  <c r="N26" i="27"/>
  <c r="N55" i="27" s="1"/>
  <c r="N8" i="27"/>
  <c r="N31" i="27"/>
  <c r="N25" i="27"/>
  <c r="N54" i="27" s="1"/>
  <c r="F7" i="22"/>
  <c r="J15" i="27"/>
  <c r="F51" i="22"/>
  <c r="K15" i="27"/>
  <c r="I5" i="22"/>
  <c r="I49" i="22" s="1"/>
  <c r="N48" i="27"/>
  <c r="J5" i="22" s="1"/>
  <c r="J49" i="22" s="1"/>
  <c r="G52" i="22"/>
  <c r="K82" i="27"/>
  <c r="D8" i="22"/>
  <c r="H63" i="27"/>
  <c r="D58" i="22"/>
  <c r="D59" i="22" s="1"/>
  <c r="L14" i="27"/>
  <c r="M32" i="27"/>
  <c r="M59" i="27"/>
  <c r="M61" i="27" s="1"/>
  <c r="I9" i="22" s="1"/>
  <c r="G7" i="22" l="1"/>
  <c r="G91" i="27"/>
  <c r="G93" i="27" s="1"/>
  <c r="N28" i="27"/>
  <c r="M33" i="27"/>
  <c r="N86" i="27" s="1"/>
  <c r="G80" i="27"/>
  <c r="G81" i="27" s="1"/>
  <c r="G83" i="27" s="1"/>
  <c r="H75" i="27"/>
  <c r="G76" i="27"/>
  <c r="G77" i="27" s="1"/>
  <c r="N11" i="27"/>
  <c r="N13" i="27" s="1"/>
  <c r="AB13" i="27" s="1"/>
  <c r="H64" i="27"/>
  <c r="D10" i="22"/>
  <c r="D14" i="22" s="1"/>
  <c r="H65" i="27"/>
  <c r="F58" i="22"/>
  <c r="F59" i="22" s="1"/>
  <c r="G58" i="22"/>
  <c r="G59" i="22" s="1"/>
  <c r="M14" i="27"/>
  <c r="L79" i="27"/>
  <c r="L73" i="27"/>
  <c r="L85" i="27"/>
  <c r="L50" i="27"/>
  <c r="L57" i="27" s="1"/>
  <c r="Z14" i="27"/>
  <c r="Z33" i="27" s="1"/>
  <c r="N56" i="27"/>
  <c r="F8" i="22"/>
  <c r="J63" i="27"/>
  <c r="M74" i="27"/>
  <c r="M86" i="27"/>
  <c r="N59" i="27"/>
  <c r="N61" i="27" s="1"/>
  <c r="J9" i="22" s="1"/>
  <c r="N32" i="27"/>
  <c r="H52" i="22"/>
  <c r="L82" i="27"/>
  <c r="K63" i="27"/>
  <c r="G8" i="22"/>
  <c r="D12" i="22" l="1"/>
  <c r="N33" i="27"/>
  <c r="N74" i="27"/>
  <c r="N82" i="27" s="1"/>
  <c r="H80" i="27"/>
  <c r="H81" i="27" s="1"/>
  <c r="H83" i="27" s="1"/>
  <c r="D54" i="22" s="1"/>
  <c r="J75" i="27"/>
  <c r="H76" i="27"/>
  <c r="N14" i="27"/>
  <c r="N73" i="27" s="1"/>
  <c r="L88" i="27"/>
  <c r="F10" i="22"/>
  <c r="F12" i="22" s="1"/>
  <c r="J64" i="27"/>
  <c r="J65" i="27"/>
  <c r="H91" i="27"/>
  <c r="H93" i="27" s="1"/>
  <c r="N94" i="27" s="1"/>
  <c r="H67" i="27"/>
  <c r="K64" i="27"/>
  <c r="G10" i="22"/>
  <c r="G12" i="22" s="1"/>
  <c r="K65" i="27"/>
  <c r="I52" i="22"/>
  <c r="M82" i="27"/>
  <c r="J52" i="22"/>
  <c r="H51" i="22"/>
  <c r="H7" i="22"/>
  <c r="L15" i="27"/>
  <c r="M79" i="27"/>
  <c r="M85" i="27"/>
  <c r="M73" i="27"/>
  <c r="M50" i="27"/>
  <c r="M57" i="27" s="1"/>
  <c r="AA14" i="27"/>
  <c r="AA33" i="27" s="1"/>
  <c r="H77" i="27" l="1"/>
  <c r="D53" i="22"/>
  <c r="D56" i="22" s="1"/>
  <c r="AB14" i="27"/>
  <c r="AB33" i="27" s="1"/>
  <c r="K75" i="27"/>
  <c r="J76" i="27"/>
  <c r="J80" i="27"/>
  <c r="J81" i="27" s="1"/>
  <c r="J83" i="27" s="1"/>
  <c r="F54" i="22" s="1"/>
  <c r="F63" i="22" s="1"/>
  <c r="N85" i="27"/>
  <c r="N79" i="27"/>
  <c r="N50" i="27"/>
  <c r="N57" i="27" s="1"/>
  <c r="M88" i="27"/>
  <c r="L63" i="27"/>
  <c r="H8" i="22"/>
  <c r="J51" i="22"/>
  <c r="I51" i="22"/>
  <c r="D15" i="22"/>
  <c r="G14" i="22"/>
  <c r="G21" i="22"/>
  <c r="K52" i="22"/>
  <c r="K53" i="22" s="1"/>
  <c r="J91" i="27"/>
  <c r="J93" i="27" s="1"/>
  <c r="J67" i="27"/>
  <c r="I7" i="22"/>
  <c r="M15" i="27"/>
  <c r="H58" i="22"/>
  <c r="H59" i="22" s="1"/>
  <c r="F14" i="22"/>
  <c r="F21" i="22"/>
  <c r="K91" i="27"/>
  <c r="K93" i="27" s="1"/>
  <c r="K67" i="27"/>
  <c r="J7" i="22" l="1"/>
  <c r="K7" i="22" s="1"/>
  <c r="L7" i="22" s="1"/>
  <c r="N15" i="27"/>
  <c r="N88" i="27"/>
  <c r="F15" i="22"/>
  <c r="K80" i="27"/>
  <c r="K81" i="27" s="1"/>
  <c r="K83" i="27" s="1"/>
  <c r="G54" i="22" s="1"/>
  <c r="G63" i="22" s="1"/>
  <c r="L75" i="27"/>
  <c r="K76" i="27"/>
  <c r="J77" i="27"/>
  <c r="F53" i="22"/>
  <c r="F56" i="22" s="1"/>
  <c r="M63" i="27"/>
  <c r="I8" i="22"/>
  <c r="I58" i="22"/>
  <c r="I59" i="22" s="1"/>
  <c r="H10" i="22"/>
  <c r="H12" i="22" s="1"/>
  <c r="L64" i="27"/>
  <c r="L65" i="27"/>
  <c r="N63" i="27"/>
  <c r="J8" i="22"/>
  <c r="G15" i="22"/>
  <c r="K51" i="22"/>
  <c r="J58" i="22"/>
  <c r="J59" i="22" s="1"/>
  <c r="G53" i="22" l="1"/>
  <c r="G56" i="22" s="1"/>
  <c r="K77" i="27"/>
  <c r="M75" i="27"/>
  <c r="L76" i="27"/>
  <c r="L80" i="27"/>
  <c r="L81" i="27" s="1"/>
  <c r="L83" i="27" s="1"/>
  <c r="H54" i="22" s="1"/>
  <c r="H63" i="22" s="1"/>
  <c r="K58" i="22"/>
  <c r="K10" i="22" s="1"/>
  <c r="K54" i="22"/>
  <c r="N64" i="27"/>
  <c r="J10" i="22"/>
  <c r="N65" i="27"/>
  <c r="L91" i="27"/>
  <c r="L93" i="27" s="1"/>
  <c r="L67" i="27"/>
  <c r="H14" i="22"/>
  <c r="H21" i="22"/>
  <c r="I10" i="22"/>
  <c r="I12" i="22" s="1"/>
  <c r="M64" i="27"/>
  <c r="M65" i="27"/>
  <c r="L10" i="22" l="1"/>
  <c r="L14" i="22" s="1"/>
  <c r="H53" i="22"/>
  <c r="H56" i="22" s="1"/>
  <c r="L77" i="27"/>
  <c r="D65" i="22"/>
  <c r="D70" i="22" s="1"/>
  <c r="N75" i="27"/>
  <c r="M80" i="27"/>
  <c r="M81" i="27" s="1"/>
  <c r="M83" i="27" s="1"/>
  <c r="I54" i="22" s="1"/>
  <c r="I63" i="22" s="1"/>
  <c r="M76" i="27"/>
  <c r="M91" i="27"/>
  <c r="M93" i="27" s="1"/>
  <c r="M67" i="27"/>
  <c r="H15" i="22"/>
  <c r="J21" i="22"/>
  <c r="J14" i="22"/>
  <c r="J12" i="22"/>
  <c r="I21" i="22"/>
  <c r="I14" i="22"/>
  <c r="N91" i="27"/>
  <c r="N93" i="27" s="1"/>
  <c r="D23" i="22" s="1"/>
  <c r="N67" i="27"/>
  <c r="K14" i="22"/>
  <c r="D26" i="22"/>
  <c r="D30" i="22" s="1"/>
  <c r="K11" i="22"/>
  <c r="L11" i="22" l="1"/>
  <c r="N76" i="27"/>
  <c r="N80" i="27"/>
  <c r="N81" i="27" s="1"/>
  <c r="N83" i="27" s="1"/>
  <c r="J54" i="22" s="1"/>
  <c r="J63" i="22" s="1"/>
  <c r="D68" i="22" s="1"/>
  <c r="D71" i="22" s="1"/>
  <c r="D77" i="22" s="1"/>
  <c r="D82" i="22" s="1"/>
  <c r="D85" i="22" s="1"/>
  <c r="C11" i="2" s="1"/>
  <c r="I15" i="22"/>
  <c r="I53" i="22"/>
  <c r="I56" i="22" s="1"/>
  <c r="M77" i="27"/>
  <c r="D29" i="22"/>
  <c r="D31" i="22" s="1"/>
  <c r="J15" i="22"/>
  <c r="N95" i="27"/>
  <c r="D24" i="22" s="1"/>
  <c r="J53" i="22" l="1"/>
  <c r="J56" i="22" s="1"/>
  <c r="N77" i="27"/>
  <c r="D37" i="22"/>
  <c r="D3" i="29"/>
  <c r="C4" i="29" s="1"/>
  <c r="C5" i="29" s="1"/>
  <c r="C7" i="29" s="1"/>
  <c r="C8" i="29" s="1"/>
  <c r="D42" i="22" l="1"/>
  <c r="D6" i="29"/>
  <c r="D45" i="22" l="1"/>
  <c r="D9" i="29"/>
  <c r="C10" i="2" l="1"/>
  <c r="D87" i="22"/>
</calcChain>
</file>

<file path=xl/sharedStrings.xml><?xml version="1.0" encoding="utf-8"?>
<sst xmlns="http://schemas.openxmlformats.org/spreadsheetml/2006/main" count="307" uniqueCount="212">
  <si>
    <t>DCF</t>
    <phoneticPr fontId="3"/>
  </si>
  <si>
    <t>－</t>
    <phoneticPr fontId="3"/>
  </si>
  <si>
    <t>＋</t>
    <phoneticPr fontId="3"/>
  </si>
  <si>
    <t>WACC</t>
    <phoneticPr fontId="3"/>
  </si>
  <si>
    <t>=</t>
    <phoneticPr fontId="3"/>
  </si>
  <si>
    <t>-</t>
    <phoneticPr fontId="3"/>
  </si>
  <si>
    <t>=</t>
    <phoneticPr fontId="3"/>
  </si>
  <si>
    <t>NOPAT</t>
    <phoneticPr fontId="3"/>
  </si>
  <si>
    <t>NOPAT</t>
    <phoneticPr fontId="3"/>
  </si>
  <si>
    <t>EVA</t>
    <phoneticPr fontId="3"/>
  </si>
  <si>
    <t>=</t>
    <phoneticPr fontId="3"/>
  </si>
  <si>
    <t>-</t>
    <phoneticPr fontId="3"/>
  </si>
  <si>
    <t>x</t>
    <phoneticPr fontId="3"/>
  </si>
  <si>
    <t>=</t>
    <phoneticPr fontId="3"/>
  </si>
  <si>
    <t>+</t>
    <phoneticPr fontId="3"/>
  </si>
  <si>
    <t>=</t>
    <phoneticPr fontId="3"/>
  </si>
  <si>
    <t>AA-</t>
  </si>
  <si>
    <t>-</t>
    <phoneticPr fontId="3"/>
  </si>
  <si>
    <t>=</t>
    <phoneticPr fontId="3"/>
  </si>
  <si>
    <t>+</t>
    <phoneticPr fontId="3"/>
  </si>
  <si>
    <t>+</t>
    <phoneticPr fontId="3"/>
  </si>
  <si>
    <t>=</t>
    <phoneticPr fontId="3"/>
  </si>
  <si>
    <t>WACC</t>
    <phoneticPr fontId="3"/>
  </si>
  <si>
    <t>-</t>
    <phoneticPr fontId="3"/>
  </si>
  <si>
    <t>EVA</t>
    <phoneticPr fontId="3"/>
  </si>
  <si>
    <t>-</t>
    <phoneticPr fontId="3"/>
  </si>
  <si>
    <t>x</t>
    <phoneticPr fontId="3"/>
  </si>
  <si>
    <t>＋</t>
  </si>
  <si>
    <t>+</t>
    <phoneticPr fontId="3"/>
  </si>
  <si>
    <t>-</t>
    <phoneticPr fontId="3"/>
  </si>
  <si>
    <t>=</t>
    <phoneticPr fontId="3"/>
  </si>
  <si>
    <t>FCF</t>
    <phoneticPr fontId="3"/>
  </si>
  <si>
    <t>＋</t>
    <phoneticPr fontId="3"/>
  </si>
  <si>
    <t>NOPAT,EVA,FCF</t>
    <phoneticPr fontId="3"/>
  </si>
  <si>
    <t>+</t>
    <phoneticPr fontId="3"/>
  </si>
  <si>
    <t>=</t>
    <phoneticPr fontId="3"/>
  </si>
  <si>
    <t>FCFt+1 is NOT FCFt*(1+g)</t>
    <phoneticPr fontId="3"/>
  </si>
  <si>
    <t>FCFt+1=NOPAT(1+g)*(1-I%)</t>
    <phoneticPr fontId="3"/>
  </si>
  <si>
    <t>g/I%</t>
    <phoneticPr fontId="3"/>
  </si>
  <si>
    <t>t+1</t>
    <phoneticPr fontId="3"/>
  </si>
  <si>
    <t>t+2</t>
    <phoneticPr fontId="3"/>
  </si>
  <si>
    <t>FCF g</t>
    <phoneticPr fontId="3"/>
  </si>
  <si>
    <t>EVA</t>
    <phoneticPr fontId="3"/>
  </si>
  <si>
    <t>MV, MVA</t>
    <phoneticPr fontId="3"/>
  </si>
  <si>
    <t>+</t>
    <phoneticPr fontId="3"/>
  </si>
  <si>
    <t>Adidas</t>
    <phoneticPr fontId="3"/>
  </si>
  <si>
    <t>Under Armour</t>
    <phoneticPr fontId="3"/>
  </si>
  <si>
    <t>Asics</t>
    <phoneticPr fontId="3"/>
  </si>
  <si>
    <t>Puma</t>
  </si>
  <si>
    <t>企業名</t>
    <rPh sb="0" eb="2">
      <t>キギョウ</t>
    </rPh>
    <rPh sb="2" eb="3">
      <t>メイ</t>
    </rPh>
    <phoneticPr fontId="3"/>
  </si>
  <si>
    <t>ナイキ</t>
    <phoneticPr fontId="3"/>
  </si>
  <si>
    <t>単位</t>
    <rPh sb="0" eb="2">
      <t>タンイ</t>
    </rPh>
    <phoneticPr fontId="3"/>
  </si>
  <si>
    <t>通貨</t>
    <rPh sb="0" eb="2">
      <t>ツウカ</t>
    </rPh>
    <phoneticPr fontId="3"/>
  </si>
  <si>
    <t>百万</t>
    <rPh sb="0" eb="2">
      <t>ヒャクマン</t>
    </rPh>
    <phoneticPr fontId="3"/>
  </si>
  <si>
    <t>ドル</t>
    <phoneticPr fontId="3"/>
  </si>
  <si>
    <t>直近年度</t>
    <rPh sb="0" eb="2">
      <t>チョッキン</t>
    </rPh>
    <rPh sb="2" eb="4">
      <t>ネンド</t>
    </rPh>
    <phoneticPr fontId="3"/>
  </si>
  <si>
    <t>損益計算書</t>
    <rPh sb="0" eb="5">
      <t>ソンエキケイサンショ</t>
    </rPh>
    <phoneticPr fontId="3"/>
  </si>
  <si>
    <t>貸借対照表</t>
    <rPh sb="0" eb="5">
      <t>タイシャクタイショウヒョウ</t>
    </rPh>
    <phoneticPr fontId="3"/>
  </si>
  <si>
    <t>原価</t>
    <rPh sb="0" eb="1">
      <t>ゲンカ</t>
    </rPh>
    <phoneticPr fontId="3"/>
  </si>
  <si>
    <t>販管費</t>
    <rPh sb="0" eb="2">
      <t>ハンカンヒ</t>
    </rPh>
    <phoneticPr fontId="3"/>
  </si>
  <si>
    <t>営業利益</t>
    <rPh sb="0" eb="2">
      <t>エイギョウ</t>
    </rPh>
    <rPh sb="2" eb="4">
      <t>リエキ</t>
    </rPh>
    <phoneticPr fontId="3"/>
  </si>
  <si>
    <t>税金</t>
    <rPh sb="0" eb="2">
      <t>ゼイキン</t>
    </rPh>
    <phoneticPr fontId="3"/>
  </si>
  <si>
    <t>当期純利益</t>
    <rPh sb="0" eb="2">
      <t>トウキ</t>
    </rPh>
    <rPh sb="2" eb="5">
      <t>ジュンリエキ</t>
    </rPh>
    <phoneticPr fontId="3"/>
  </si>
  <si>
    <t>流動資産</t>
    <rPh sb="0" eb="2">
      <t>リュウドウ</t>
    </rPh>
    <rPh sb="2" eb="4">
      <t>シサン</t>
    </rPh>
    <phoneticPr fontId="3"/>
  </si>
  <si>
    <t>現金及び同等物</t>
    <rPh sb="0" eb="2">
      <t>ゲンキン</t>
    </rPh>
    <rPh sb="2" eb="3">
      <t>オヨ</t>
    </rPh>
    <rPh sb="4" eb="6">
      <t>ドウトウ</t>
    </rPh>
    <rPh sb="6" eb="7">
      <t>ブツ</t>
    </rPh>
    <phoneticPr fontId="3"/>
  </si>
  <si>
    <t>有価証券</t>
    <rPh sb="0" eb="2">
      <t>ユウカ</t>
    </rPh>
    <rPh sb="2" eb="4">
      <t>ショウケン</t>
    </rPh>
    <phoneticPr fontId="3"/>
  </si>
  <si>
    <t>売掛債権</t>
    <rPh sb="0" eb="2">
      <t>ウリカケ</t>
    </rPh>
    <rPh sb="2" eb="4">
      <t>サイケン</t>
    </rPh>
    <phoneticPr fontId="3"/>
  </si>
  <si>
    <t>棚卸資産</t>
    <rPh sb="0" eb="2">
      <t>タナオロシ</t>
    </rPh>
    <rPh sb="2" eb="4">
      <t>シサン</t>
    </rPh>
    <phoneticPr fontId="3"/>
  </si>
  <si>
    <t>その他流動資産</t>
    <rPh sb="2" eb="3">
      <t>タ</t>
    </rPh>
    <rPh sb="3" eb="5">
      <t>リュウドウ</t>
    </rPh>
    <rPh sb="5" eb="7">
      <t>シサン</t>
    </rPh>
    <phoneticPr fontId="3"/>
  </si>
  <si>
    <t>有形固定資産</t>
    <rPh sb="0" eb="2">
      <t>ユウケイ</t>
    </rPh>
    <rPh sb="2" eb="4">
      <t>コテイ</t>
    </rPh>
    <rPh sb="4" eb="6">
      <t>シサン</t>
    </rPh>
    <phoneticPr fontId="3"/>
  </si>
  <si>
    <t>投資有価証券</t>
    <rPh sb="0" eb="2">
      <t>トウシ</t>
    </rPh>
    <rPh sb="2" eb="4">
      <t>ユウカ</t>
    </rPh>
    <rPh sb="4" eb="6">
      <t>ショウケン</t>
    </rPh>
    <phoneticPr fontId="3"/>
  </si>
  <si>
    <t>その他固定資産</t>
    <rPh sb="2" eb="3">
      <t>タ</t>
    </rPh>
    <rPh sb="3" eb="5">
      <t>コテイ</t>
    </rPh>
    <rPh sb="5" eb="7">
      <t>シサン</t>
    </rPh>
    <phoneticPr fontId="3"/>
  </si>
  <si>
    <t>総資産</t>
    <rPh sb="0" eb="3">
      <t>ソウシサン</t>
    </rPh>
    <phoneticPr fontId="3"/>
  </si>
  <si>
    <t>流動負債</t>
    <rPh sb="0" eb="2">
      <t>リュウドウ</t>
    </rPh>
    <rPh sb="2" eb="4">
      <t>フサイ</t>
    </rPh>
    <phoneticPr fontId="3"/>
  </si>
  <si>
    <t>短期有利子負債</t>
    <rPh sb="0" eb="2">
      <t>タンキ</t>
    </rPh>
    <rPh sb="2" eb="3">
      <t>ユウ</t>
    </rPh>
    <rPh sb="3" eb="5">
      <t>リシ</t>
    </rPh>
    <rPh sb="5" eb="7">
      <t>フサイ</t>
    </rPh>
    <phoneticPr fontId="3"/>
  </si>
  <si>
    <t>その他流動負債（無利子流動負債）</t>
    <rPh sb="2" eb="3">
      <t>タ</t>
    </rPh>
    <rPh sb="3" eb="5">
      <t>リュウドウ</t>
    </rPh>
    <rPh sb="5" eb="7">
      <t>フサイ</t>
    </rPh>
    <rPh sb="8" eb="11">
      <t>ムリシ</t>
    </rPh>
    <rPh sb="11" eb="13">
      <t>リュウドウ</t>
    </rPh>
    <rPh sb="13" eb="15">
      <t>フサイ</t>
    </rPh>
    <phoneticPr fontId="3"/>
  </si>
  <si>
    <t>固定負債</t>
    <rPh sb="0" eb="2">
      <t>コテイ</t>
    </rPh>
    <rPh sb="2" eb="4">
      <t>フサイ</t>
    </rPh>
    <phoneticPr fontId="3"/>
  </si>
  <si>
    <t>長期有利子負債</t>
    <rPh sb="0" eb="2">
      <t>チョウキ</t>
    </rPh>
    <rPh sb="2" eb="3">
      <t>ユウ</t>
    </rPh>
    <rPh sb="3" eb="5">
      <t>リシ</t>
    </rPh>
    <rPh sb="5" eb="7">
      <t>フサイ</t>
    </rPh>
    <phoneticPr fontId="3"/>
  </si>
  <si>
    <t>その他固定負債（無利子固定負債）</t>
    <rPh sb="2" eb="3">
      <t>タ</t>
    </rPh>
    <rPh sb="3" eb="5">
      <t>コテイ</t>
    </rPh>
    <rPh sb="5" eb="7">
      <t>フサイ</t>
    </rPh>
    <rPh sb="8" eb="11">
      <t>ムリシ</t>
    </rPh>
    <rPh sb="11" eb="13">
      <t>コテイ</t>
    </rPh>
    <rPh sb="13" eb="15">
      <t>フサイ</t>
    </rPh>
    <phoneticPr fontId="3"/>
  </si>
  <si>
    <t>少数株主持ち分</t>
    <rPh sb="0" eb="2">
      <t>ショウスウ</t>
    </rPh>
    <rPh sb="2" eb="4">
      <t>カブヌシ</t>
    </rPh>
    <rPh sb="4" eb="5">
      <t>モ</t>
    </rPh>
    <rPh sb="6" eb="7">
      <t>ブン</t>
    </rPh>
    <phoneticPr fontId="3"/>
  </si>
  <si>
    <t>株主資本</t>
    <rPh sb="0" eb="2">
      <t>カブヌシ</t>
    </rPh>
    <rPh sb="2" eb="4">
      <t>シホン</t>
    </rPh>
    <phoneticPr fontId="3"/>
  </si>
  <si>
    <t>負債純資産計</t>
    <rPh sb="0" eb="2">
      <t>フサイ</t>
    </rPh>
    <rPh sb="2" eb="5">
      <t>ジュンシサン</t>
    </rPh>
    <rPh sb="5" eb="6">
      <t>ケイ</t>
    </rPh>
    <phoneticPr fontId="3"/>
  </si>
  <si>
    <t>その他</t>
    <rPh sb="2" eb="3">
      <t>タ</t>
    </rPh>
    <phoneticPr fontId="3"/>
  </si>
  <si>
    <t>資本金、準備金、剰余金</t>
    <rPh sb="0" eb="3">
      <t>シホンキン</t>
    </rPh>
    <rPh sb="4" eb="7">
      <t>ジュンビキン</t>
    </rPh>
    <rPh sb="8" eb="11">
      <t>ジョウヨキン</t>
    </rPh>
    <phoneticPr fontId="3"/>
  </si>
  <si>
    <t>自己株式</t>
    <rPh sb="0" eb="2">
      <t>ジコ</t>
    </rPh>
    <rPh sb="2" eb="4">
      <t>カブシキ</t>
    </rPh>
    <phoneticPr fontId="3"/>
  </si>
  <si>
    <t>キャッシュフロー計算書</t>
    <rPh sb="8" eb="11">
      <t>ケイサンショ</t>
    </rPh>
    <phoneticPr fontId="3"/>
  </si>
  <si>
    <t>減価償却費</t>
    <rPh sb="0" eb="5">
      <t>ゲンカショウキャクヒ</t>
    </rPh>
    <phoneticPr fontId="3"/>
  </si>
  <si>
    <t>営業活動からのキャッシュフロー</t>
    <rPh sb="0" eb="2">
      <t>エイギョウ</t>
    </rPh>
    <rPh sb="2" eb="4">
      <t>カツドウ</t>
    </rPh>
    <phoneticPr fontId="3"/>
  </si>
  <si>
    <t>設備投資</t>
    <rPh sb="0" eb="2">
      <t>セツビ</t>
    </rPh>
    <rPh sb="2" eb="4">
      <t>トウシ</t>
    </rPh>
    <phoneticPr fontId="3"/>
  </si>
  <si>
    <t>金融投資</t>
    <rPh sb="0" eb="2">
      <t>キンユウ</t>
    </rPh>
    <rPh sb="2" eb="4">
      <t>トウシ</t>
    </rPh>
    <phoneticPr fontId="3"/>
  </si>
  <si>
    <t>投資活動からのキャッシュフロー</t>
    <rPh sb="0" eb="2">
      <t>トウシ</t>
    </rPh>
    <rPh sb="2" eb="4">
      <t>カツドウ</t>
    </rPh>
    <phoneticPr fontId="3"/>
  </si>
  <si>
    <t>配当支払い</t>
    <rPh sb="0" eb="2">
      <t>ハイトウ</t>
    </rPh>
    <rPh sb="2" eb="4">
      <t>シハラ</t>
    </rPh>
    <phoneticPr fontId="3"/>
  </si>
  <si>
    <t>自己株式取得</t>
    <rPh sb="0" eb="2">
      <t>ジコ</t>
    </rPh>
    <rPh sb="2" eb="4">
      <t>カブシキ</t>
    </rPh>
    <rPh sb="4" eb="6">
      <t>シュトク</t>
    </rPh>
    <phoneticPr fontId="3"/>
  </si>
  <si>
    <t>財務活動からのキャッシュフロー</t>
    <rPh sb="0" eb="2">
      <t>ザイム</t>
    </rPh>
    <rPh sb="2" eb="4">
      <t>カツドウ</t>
    </rPh>
    <phoneticPr fontId="3"/>
  </si>
  <si>
    <t>流通株式数</t>
    <rPh sb="0" eb="2">
      <t>リュウツウ</t>
    </rPh>
    <rPh sb="2" eb="4">
      <t>カブシキ</t>
    </rPh>
    <rPh sb="4" eb="5">
      <t>スウ</t>
    </rPh>
    <phoneticPr fontId="3"/>
  </si>
  <si>
    <t>信用格付け</t>
    <rPh sb="0" eb="2">
      <t>シンヨウ</t>
    </rPh>
    <rPh sb="2" eb="3">
      <t>カク</t>
    </rPh>
    <rPh sb="3" eb="4">
      <t>ツ</t>
    </rPh>
    <phoneticPr fontId="3"/>
  </si>
  <si>
    <t>現時点株価</t>
    <rPh sb="0" eb="3">
      <t>ゲンジテン</t>
    </rPh>
    <rPh sb="3" eb="5">
      <t>カブカ</t>
    </rPh>
    <phoneticPr fontId="3"/>
  </si>
  <si>
    <t>基本的な会計指標</t>
    <rPh sb="0" eb="3">
      <t>キホンテキ</t>
    </rPh>
    <rPh sb="4" eb="6">
      <t>カイケイ</t>
    </rPh>
    <rPh sb="6" eb="8">
      <t>シヒョウ</t>
    </rPh>
    <phoneticPr fontId="3"/>
  </si>
  <si>
    <r>
      <t>ROA =</t>
    </r>
    <r>
      <rPr>
        <sz val="9"/>
        <rFont val="ＭＳ Ｐゴシック"/>
        <family val="3"/>
        <charset val="128"/>
      </rPr>
      <t>営業利益÷期末総資産</t>
    </r>
    <rPh sb="5" eb="7">
      <t>エイギョウ</t>
    </rPh>
    <rPh sb="7" eb="9">
      <t>リエキ</t>
    </rPh>
    <rPh sb="10" eb="12">
      <t>キマツ</t>
    </rPh>
    <rPh sb="12" eb="15">
      <t>ソウシサン</t>
    </rPh>
    <phoneticPr fontId="3"/>
  </si>
  <si>
    <r>
      <t>ROE =</t>
    </r>
    <r>
      <rPr>
        <sz val="9"/>
        <rFont val="ＭＳ Ｐゴシック"/>
        <family val="3"/>
        <charset val="128"/>
      </rPr>
      <t>当期純利益÷期末株主資本</t>
    </r>
    <rPh sb="5" eb="7">
      <t>トウキ</t>
    </rPh>
    <rPh sb="7" eb="10">
      <t>ジュンリエキ</t>
    </rPh>
    <rPh sb="11" eb="13">
      <t>キマツ</t>
    </rPh>
    <rPh sb="13" eb="15">
      <t>カブヌシ</t>
    </rPh>
    <rPh sb="15" eb="17">
      <t>シホン</t>
    </rPh>
    <phoneticPr fontId="3"/>
  </si>
  <si>
    <t>負債総資産比率</t>
    <rPh sb="0" eb="2">
      <t>フサイ</t>
    </rPh>
    <rPh sb="2" eb="5">
      <t>ソウシサン</t>
    </rPh>
    <rPh sb="5" eb="7">
      <t>ヒリツ</t>
    </rPh>
    <phoneticPr fontId="3"/>
  </si>
  <si>
    <t>借入金の増額（純額）</t>
    <rPh sb="0" eb="2">
      <t>カリイレ</t>
    </rPh>
    <rPh sb="2" eb="3">
      <t>キン</t>
    </rPh>
    <rPh sb="4" eb="6">
      <t>ゾウガク</t>
    </rPh>
    <rPh sb="7" eb="8">
      <t>ジュン</t>
    </rPh>
    <rPh sb="8" eb="9">
      <t>ガク</t>
    </rPh>
    <phoneticPr fontId="3"/>
  </si>
  <si>
    <t>投下資本</t>
    <rPh sb="0" eb="2">
      <t>トウカ</t>
    </rPh>
    <rPh sb="2" eb="4">
      <t>シホン</t>
    </rPh>
    <phoneticPr fontId="3"/>
  </si>
  <si>
    <t>実績</t>
    <rPh sb="0" eb="2">
      <t>ジッセキ</t>
    </rPh>
    <phoneticPr fontId="3"/>
  </si>
  <si>
    <t>予測ドライバー</t>
    <rPh sb="0" eb="2">
      <t>ヨソク</t>
    </rPh>
    <phoneticPr fontId="3"/>
  </si>
  <si>
    <t>売上高比</t>
    <rPh sb="0" eb="2">
      <t>ウリアゲ</t>
    </rPh>
    <rPh sb="2" eb="3">
      <t>ダカ</t>
    </rPh>
    <rPh sb="3" eb="4">
      <t>ヒ</t>
    </rPh>
    <phoneticPr fontId="3"/>
  </si>
  <si>
    <t>税率</t>
    <rPh sb="0" eb="2">
      <t>ゼイリツ</t>
    </rPh>
    <phoneticPr fontId="3"/>
  </si>
  <si>
    <t>予測</t>
    <rPh sb="0" eb="2">
      <t>ヨソク</t>
    </rPh>
    <phoneticPr fontId="3"/>
  </si>
  <si>
    <r>
      <t>NOPAT</t>
    </r>
    <r>
      <rPr>
        <sz val="9"/>
        <rFont val="ＭＳ Ｐゴシック"/>
        <family val="3"/>
        <charset val="128"/>
      </rPr>
      <t>成長率</t>
    </r>
    <rPh sb="5" eb="8">
      <t>セイチョウリツ</t>
    </rPh>
    <phoneticPr fontId="3"/>
  </si>
  <si>
    <t>現金及び金融投資</t>
    <rPh sb="0" eb="2">
      <t>ゲンキン</t>
    </rPh>
    <rPh sb="2" eb="3">
      <t>オヨ</t>
    </rPh>
    <rPh sb="4" eb="6">
      <t>キンユウ</t>
    </rPh>
    <rPh sb="6" eb="8">
      <t>トウシ</t>
    </rPh>
    <phoneticPr fontId="3"/>
  </si>
  <si>
    <t>正味運転資本</t>
    <rPh sb="0" eb="2">
      <t>ショウミ</t>
    </rPh>
    <rPh sb="2" eb="4">
      <t>ウンテン</t>
    </rPh>
    <rPh sb="4" eb="6">
      <t>シホン</t>
    </rPh>
    <phoneticPr fontId="3"/>
  </si>
  <si>
    <t>固定資本</t>
    <rPh sb="0" eb="2">
      <t>コテイ</t>
    </rPh>
    <rPh sb="2" eb="4">
      <t>シホン</t>
    </rPh>
    <phoneticPr fontId="3"/>
  </si>
  <si>
    <t>有利子負債</t>
    <rPh sb="0" eb="5">
      <t>ユウリシフサイ</t>
    </rPh>
    <phoneticPr fontId="3"/>
  </si>
  <si>
    <t>純有利子負債</t>
    <rPh sb="0" eb="1">
      <t>ジュン</t>
    </rPh>
    <rPh sb="1" eb="2">
      <t>ユウ</t>
    </rPh>
    <rPh sb="2" eb="4">
      <t>リシ</t>
    </rPh>
    <rPh sb="4" eb="6">
      <t>フサイ</t>
    </rPh>
    <phoneticPr fontId="3"/>
  </si>
  <si>
    <t>フリー・キャッシュフロー</t>
    <phoneticPr fontId="3"/>
  </si>
  <si>
    <t>営業キャッシュフロー</t>
    <rPh sb="0" eb="2">
      <t>エイギョウ</t>
    </rPh>
    <phoneticPr fontId="3"/>
  </si>
  <si>
    <t>投資額</t>
    <rPh sb="0" eb="2">
      <t>トウシ</t>
    </rPh>
    <rPh sb="2" eb="3">
      <t>ガク</t>
    </rPh>
    <phoneticPr fontId="3"/>
  </si>
  <si>
    <t>フリー・キャッシュフロー</t>
    <phoneticPr fontId="3"/>
  </si>
  <si>
    <r>
      <t>FCF</t>
    </r>
    <r>
      <rPr>
        <sz val="9"/>
        <rFont val="ＭＳ Ｐゴシック"/>
        <family val="3"/>
        <charset val="128"/>
      </rPr>
      <t>成長率</t>
    </r>
    <rPh sb="3" eb="5">
      <t>セイチョウ</t>
    </rPh>
    <rPh sb="5" eb="6">
      <t>リツ</t>
    </rPh>
    <phoneticPr fontId="3"/>
  </si>
  <si>
    <t>純投資額</t>
    <rPh sb="0" eb="1">
      <t>ジュン</t>
    </rPh>
    <rPh sb="1" eb="3">
      <t>トウシ</t>
    </rPh>
    <rPh sb="3" eb="4">
      <t>ガク</t>
    </rPh>
    <phoneticPr fontId="3"/>
  </si>
  <si>
    <t>期首投下資本</t>
    <rPh sb="0" eb="2">
      <t>キシュ</t>
    </rPh>
    <rPh sb="2" eb="4">
      <t>トウカ</t>
    </rPh>
    <rPh sb="4" eb="6">
      <t>シホン</t>
    </rPh>
    <phoneticPr fontId="3"/>
  </si>
  <si>
    <t>資本費用</t>
    <rPh sb="0" eb="2">
      <t>シホン</t>
    </rPh>
    <rPh sb="2" eb="4">
      <t>ヒヨウ</t>
    </rPh>
    <phoneticPr fontId="3"/>
  </si>
  <si>
    <r>
      <t>ROC =NOPAT</t>
    </r>
    <r>
      <rPr>
        <sz val="9"/>
        <rFont val="ＭＳ Ｐゴシック"/>
        <family val="3"/>
        <charset val="128"/>
      </rPr>
      <t>÷期首投下資本</t>
    </r>
    <rPh sb="11" eb="13">
      <t>キシュ</t>
    </rPh>
    <rPh sb="13" eb="15">
      <t>トウカ</t>
    </rPh>
    <rPh sb="15" eb="17">
      <t>シホン</t>
    </rPh>
    <phoneticPr fontId="3"/>
  </si>
  <si>
    <r>
      <t>EVA</t>
    </r>
    <r>
      <rPr>
        <sz val="9"/>
        <rFont val="ＭＳ Ｐゴシック"/>
        <family val="3"/>
        <charset val="128"/>
      </rPr>
      <t>スプレッド</t>
    </r>
    <phoneticPr fontId="3"/>
  </si>
  <si>
    <t>照合</t>
    <rPh sb="0" eb="2">
      <t>ショウゴウ</t>
    </rPh>
    <phoneticPr fontId="3"/>
  </si>
  <si>
    <t>リスクフリー・レート</t>
    <phoneticPr fontId="3"/>
  </si>
  <si>
    <t>負債コスト</t>
    <rPh sb="0" eb="2">
      <t>フサイ</t>
    </rPh>
    <phoneticPr fontId="3"/>
  </si>
  <si>
    <t>ベータ</t>
    <phoneticPr fontId="3"/>
  </si>
  <si>
    <t>市場リスク・プレミアム</t>
    <rPh sb="0" eb="2">
      <t>シジョウ</t>
    </rPh>
    <phoneticPr fontId="3"/>
  </si>
  <si>
    <t>信用リスク・プレミアム</t>
    <rPh sb="0" eb="2">
      <t>シンヨウ</t>
    </rPh>
    <phoneticPr fontId="3"/>
  </si>
  <si>
    <t>株式リスク・プレミアム</t>
    <rPh sb="0" eb="2">
      <t>カブシキ</t>
    </rPh>
    <phoneticPr fontId="3"/>
  </si>
  <si>
    <t>株主資本コスト</t>
    <rPh sb="0" eb="2">
      <t>カブヌシ</t>
    </rPh>
    <rPh sb="2" eb="4">
      <t>シホン</t>
    </rPh>
    <phoneticPr fontId="3"/>
  </si>
  <si>
    <t>株式時価総額</t>
    <rPh sb="0" eb="2">
      <t>カブシキ</t>
    </rPh>
    <rPh sb="2" eb="4">
      <t>ジカ</t>
    </rPh>
    <rPh sb="4" eb="6">
      <t>ソウガク</t>
    </rPh>
    <phoneticPr fontId="3"/>
  </si>
  <si>
    <t>企業価値</t>
    <rPh sb="0" eb="2">
      <t>キギョウ</t>
    </rPh>
    <rPh sb="2" eb="4">
      <t>カチ</t>
    </rPh>
    <phoneticPr fontId="3"/>
  </si>
  <si>
    <t>負債比率</t>
    <rPh sb="0" eb="2">
      <t>フサイ</t>
    </rPh>
    <rPh sb="2" eb="4">
      <t>ヒリツ</t>
    </rPh>
    <phoneticPr fontId="3"/>
  </si>
  <si>
    <t>株主資本比率</t>
    <rPh sb="0" eb="2">
      <t>カブヌシ</t>
    </rPh>
    <rPh sb="2" eb="4">
      <t>シホン</t>
    </rPh>
    <rPh sb="4" eb="6">
      <t>ヒリツ</t>
    </rPh>
    <phoneticPr fontId="3"/>
  </si>
  <si>
    <t>加重平均資本コスト　WACC</t>
    <rPh sb="0" eb="2">
      <t>カジュウ</t>
    </rPh>
    <rPh sb="2" eb="4">
      <t>ヘイキン</t>
    </rPh>
    <rPh sb="4" eb="6">
      <t>シホン</t>
    </rPh>
    <phoneticPr fontId="3"/>
  </si>
  <si>
    <t>現金及び金融投資の増額</t>
    <rPh sb="0" eb="2">
      <t>ゲンキン</t>
    </rPh>
    <rPh sb="2" eb="3">
      <t>オヨ</t>
    </rPh>
    <rPh sb="4" eb="6">
      <t>キンユウ</t>
    </rPh>
    <rPh sb="6" eb="8">
      <t>トウシ</t>
    </rPh>
    <rPh sb="9" eb="11">
      <t>ゾウガク</t>
    </rPh>
    <phoneticPr fontId="3"/>
  </si>
  <si>
    <t>売掛債権の増額</t>
    <rPh sb="0" eb="4">
      <t>ウリカケサイケン</t>
    </rPh>
    <rPh sb="5" eb="7">
      <t>ゾウガク</t>
    </rPh>
    <phoneticPr fontId="3"/>
  </si>
  <si>
    <t>棚卸資産の増額</t>
    <rPh sb="0" eb="4">
      <t>タナオロシシサン</t>
    </rPh>
    <rPh sb="5" eb="7">
      <t>ゾウガク</t>
    </rPh>
    <phoneticPr fontId="3"/>
  </si>
  <si>
    <t>その他流動資産の増額</t>
    <rPh sb="2" eb="3">
      <t>タ</t>
    </rPh>
    <rPh sb="3" eb="5">
      <t>リュウドウ</t>
    </rPh>
    <rPh sb="5" eb="7">
      <t>シサン</t>
    </rPh>
    <rPh sb="8" eb="10">
      <t>ゾウガク</t>
    </rPh>
    <phoneticPr fontId="3"/>
  </si>
  <si>
    <t>無利子負債の増額</t>
    <rPh sb="0" eb="1">
      <t>ム</t>
    </rPh>
    <rPh sb="1" eb="3">
      <t>リシ</t>
    </rPh>
    <rPh sb="3" eb="5">
      <t>フサイ</t>
    </rPh>
    <rPh sb="6" eb="8">
      <t>ゾウガク</t>
    </rPh>
    <phoneticPr fontId="3"/>
  </si>
  <si>
    <t>有形固定資産への投資</t>
    <rPh sb="0" eb="2">
      <t>ユウケイ</t>
    </rPh>
    <rPh sb="2" eb="4">
      <t>コテイ</t>
    </rPh>
    <rPh sb="4" eb="6">
      <t>シサン</t>
    </rPh>
    <rPh sb="8" eb="10">
      <t>トウシ</t>
    </rPh>
    <phoneticPr fontId="3"/>
  </si>
  <si>
    <t>その他資産への投資</t>
    <rPh sb="2" eb="3">
      <t>タ</t>
    </rPh>
    <rPh sb="3" eb="5">
      <t>シサン</t>
    </rPh>
    <rPh sb="7" eb="9">
      <t>トウシ</t>
    </rPh>
    <phoneticPr fontId="3"/>
  </si>
  <si>
    <r>
      <rPr>
        <sz val="9"/>
        <rFont val="ＭＳ Ｐゴシック"/>
        <family val="3"/>
        <charset val="128"/>
      </rPr>
      <t>再投資率</t>
    </r>
    <r>
      <rPr>
        <sz val="9"/>
        <rFont val="Arial"/>
        <family val="2"/>
      </rPr>
      <t xml:space="preserve"> =</t>
    </r>
    <r>
      <rPr>
        <sz val="9"/>
        <rFont val="ＭＳ Ｐゴシック"/>
        <family val="3"/>
        <charset val="128"/>
      </rPr>
      <t>純投資額÷</t>
    </r>
    <r>
      <rPr>
        <sz val="9"/>
        <rFont val="Arial"/>
        <family val="2"/>
      </rPr>
      <t>NOPAT</t>
    </r>
    <rPh sb="0" eb="3">
      <t>サイトウシ</t>
    </rPh>
    <rPh sb="3" eb="4">
      <t>リツ</t>
    </rPh>
    <rPh sb="6" eb="7">
      <t>ジュン</t>
    </rPh>
    <rPh sb="7" eb="9">
      <t>トウシ</t>
    </rPh>
    <rPh sb="9" eb="10">
      <t>ガク</t>
    </rPh>
    <phoneticPr fontId="3"/>
  </si>
  <si>
    <r>
      <rPr>
        <sz val="9"/>
        <rFont val="ＭＳ Ｐゴシック"/>
        <family val="3"/>
        <charset val="128"/>
      </rPr>
      <t>サステイナブル成長率</t>
    </r>
    <r>
      <rPr>
        <sz val="9"/>
        <rFont val="Arial"/>
        <family val="2"/>
      </rPr>
      <t xml:space="preserve"> =ROCx</t>
    </r>
    <r>
      <rPr>
        <sz val="9"/>
        <rFont val="ＭＳ Ｐゴシック"/>
        <family val="3"/>
        <charset val="128"/>
      </rPr>
      <t>再投資率</t>
    </r>
    <rPh sb="7" eb="10">
      <t>セイチョウリツ</t>
    </rPh>
    <rPh sb="16" eb="19">
      <t>サイトウシ</t>
    </rPh>
    <rPh sb="19" eb="20">
      <t>リツ</t>
    </rPh>
    <phoneticPr fontId="3"/>
  </si>
  <si>
    <t>実績平均成長率</t>
    <rPh sb="0" eb="2">
      <t>ジッセキ</t>
    </rPh>
    <rPh sb="2" eb="4">
      <t>ヘイキン</t>
    </rPh>
    <rPh sb="4" eb="7">
      <t>セイチョウリツ</t>
    </rPh>
    <phoneticPr fontId="3"/>
  </si>
  <si>
    <t>平均</t>
    <rPh sb="0" eb="2">
      <t>ヘイキン</t>
    </rPh>
    <phoneticPr fontId="3"/>
  </si>
  <si>
    <t>実績+予測平均成長率</t>
    <rPh sb="0" eb="2">
      <t>ジッセキ</t>
    </rPh>
    <rPh sb="3" eb="5">
      <t>ヨソク</t>
    </rPh>
    <rPh sb="5" eb="7">
      <t>ヘイキン</t>
    </rPh>
    <rPh sb="7" eb="10">
      <t>セイチョウリツ</t>
    </rPh>
    <phoneticPr fontId="3"/>
  </si>
  <si>
    <r>
      <t xml:space="preserve">ROE, ROC: </t>
    </r>
    <r>
      <rPr>
        <sz val="11"/>
        <color indexed="8"/>
        <rFont val="ＭＳ Ｐゴシック"/>
        <family val="3"/>
        <charset val="128"/>
      </rPr>
      <t>右軸</t>
    </r>
    <rPh sb="10" eb="11">
      <t>ミギ</t>
    </rPh>
    <rPh sb="11" eb="12">
      <t>ジク</t>
    </rPh>
    <phoneticPr fontId="3"/>
  </si>
  <si>
    <t>売上成長と利益率</t>
    <rPh sb="0" eb="2">
      <t>ウリアゲ</t>
    </rPh>
    <rPh sb="2" eb="4">
      <t>セイチョウ</t>
    </rPh>
    <rPh sb="5" eb="7">
      <t>リエキ</t>
    </rPh>
    <rPh sb="7" eb="8">
      <t>リツ</t>
    </rPh>
    <phoneticPr fontId="3"/>
  </si>
  <si>
    <r>
      <t>NOPAT</t>
    </r>
    <r>
      <rPr>
        <sz val="11"/>
        <color indexed="8"/>
        <rFont val="ＭＳ Ｐゴシック"/>
        <family val="3"/>
        <charset val="128"/>
      </rPr>
      <t>マージン</t>
    </r>
    <r>
      <rPr>
        <sz val="11"/>
        <color indexed="8"/>
        <rFont val="Calibri"/>
        <family val="2"/>
      </rPr>
      <t xml:space="preserve">: </t>
    </r>
    <r>
      <rPr>
        <sz val="11"/>
        <color indexed="8"/>
        <rFont val="ＭＳ Ｐゴシック"/>
        <family val="3"/>
        <charset val="128"/>
      </rPr>
      <t>右軸</t>
    </r>
    <rPh sb="11" eb="12">
      <t>ミギ</t>
    </rPh>
    <rPh sb="12" eb="13">
      <t>ジク</t>
    </rPh>
    <phoneticPr fontId="3"/>
  </si>
  <si>
    <t>投下資本ドライバー（売上高比）</t>
    <rPh sb="0" eb="2">
      <t>トウカ</t>
    </rPh>
    <rPh sb="2" eb="4">
      <t>シホン</t>
    </rPh>
    <rPh sb="10" eb="13">
      <t>ウリアゲダカ</t>
    </rPh>
    <rPh sb="13" eb="14">
      <t>ヒ</t>
    </rPh>
    <phoneticPr fontId="3"/>
  </si>
  <si>
    <r>
      <t>NOPAT</t>
    </r>
    <r>
      <rPr>
        <sz val="11"/>
        <color indexed="8"/>
        <rFont val="ＭＳ Ｐゴシック"/>
        <family val="3"/>
        <charset val="128"/>
      </rPr>
      <t>ドライバー（売上高比）</t>
    </r>
    <rPh sb="11" eb="13">
      <t>ウリアゲ</t>
    </rPh>
    <rPh sb="13" eb="14">
      <t>ダカ</t>
    </rPh>
    <rPh sb="14" eb="15">
      <t>ヒ</t>
    </rPh>
    <phoneticPr fontId="3"/>
  </si>
  <si>
    <r>
      <rPr>
        <sz val="11"/>
        <color indexed="8"/>
        <rFont val="ＭＳ Ｐゴシック"/>
        <family val="3"/>
        <charset val="128"/>
      </rPr>
      <t>投下資本回転率</t>
    </r>
    <r>
      <rPr>
        <sz val="11"/>
        <color indexed="8"/>
        <rFont val="Calibri"/>
        <family val="2"/>
      </rPr>
      <t xml:space="preserve">: </t>
    </r>
    <r>
      <rPr>
        <sz val="11"/>
        <color indexed="8"/>
        <rFont val="ＭＳ Ｐゴシック"/>
        <family val="3"/>
        <charset val="128"/>
      </rPr>
      <t>右軸</t>
    </r>
    <rPh sb="0" eb="2">
      <t>トウカ</t>
    </rPh>
    <rPh sb="2" eb="4">
      <t>シホン</t>
    </rPh>
    <rPh sb="4" eb="6">
      <t>カイテン</t>
    </rPh>
    <rPh sb="6" eb="7">
      <t>リツ</t>
    </rPh>
    <rPh sb="9" eb="10">
      <t>ミギ</t>
    </rPh>
    <rPh sb="10" eb="11">
      <t>ジク</t>
    </rPh>
    <phoneticPr fontId="3"/>
  </si>
  <si>
    <t>売上、総資産</t>
    <rPh sb="0" eb="2">
      <t>ウリアゲ</t>
    </rPh>
    <rPh sb="3" eb="6">
      <t>ソウシサン</t>
    </rPh>
    <phoneticPr fontId="3"/>
  </si>
  <si>
    <t>投資CF内訳</t>
    <rPh sb="0" eb="2">
      <t>トウシ</t>
    </rPh>
    <rPh sb="4" eb="6">
      <t>ウチワケ</t>
    </rPh>
    <phoneticPr fontId="3"/>
  </si>
  <si>
    <t>業績サマリー</t>
    <rPh sb="0" eb="2">
      <t>ギョウセキ</t>
    </rPh>
    <phoneticPr fontId="3"/>
  </si>
  <si>
    <r>
      <t>EVA</t>
    </r>
    <r>
      <rPr>
        <sz val="11"/>
        <color indexed="8"/>
        <rFont val="ＭＳ Ｐゴシック"/>
        <family val="3"/>
        <charset val="128"/>
      </rPr>
      <t>スプレッド（縦軸）、投下資本（横軸）</t>
    </r>
    <rPh sb="9" eb="11">
      <t>タテジク</t>
    </rPh>
    <rPh sb="13" eb="15">
      <t>トウカ</t>
    </rPh>
    <rPh sb="15" eb="17">
      <t>シホン</t>
    </rPh>
    <rPh sb="18" eb="20">
      <t>ヨコジク</t>
    </rPh>
    <phoneticPr fontId="3"/>
  </si>
  <si>
    <r>
      <t>NOPAT</t>
    </r>
    <r>
      <rPr>
        <sz val="11"/>
        <color indexed="8"/>
        <rFont val="ＭＳ Ｐゴシック"/>
        <family val="3"/>
        <charset val="128"/>
      </rPr>
      <t>マージン（縦軸）、投下資本回転率（横軸）</t>
    </r>
    <rPh sb="10" eb="12">
      <t>タテジク</t>
    </rPh>
    <rPh sb="14" eb="21">
      <t>トウカシホンカイテンリツ</t>
    </rPh>
    <rPh sb="22" eb="24">
      <t>ヨコジク</t>
    </rPh>
    <phoneticPr fontId="3"/>
  </si>
  <si>
    <r>
      <rPr>
        <sz val="11"/>
        <color indexed="8"/>
        <rFont val="ＭＳ Ｐゴシック"/>
        <family val="3"/>
        <charset val="128"/>
      </rPr>
      <t>濃い青：直近年度、赤：</t>
    </r>
    <r>
      <rPr>
        <sz val="11"/>
        <color indexed="8"/>
        <rFont val="Calibri"/>
        <family val="2"/>
      </rPr>
      <t>5</t>
    </r>
    <r>
      <rPr>
        <sz val="11"/>
        <color indexed="8"/>
        <rFont val="ＭＳ Ｐゴシック"/>
        <family val="3"/>
        <charset val="128"/>
      </rPr>
      <t>年後</t>
    </r>
    <rPh sb="0" eb="1">
      <t>コ</t>
    </rPh>
    <rPh sb="2" eb="3">
      <t>アオ</t>
    </rPh>
    <rPh sb="4" eb="8">
      <t>チョッキンネンド</t>
    </rPh>
    <rPh sb="9" eb="10">
      <t>アカ</t>
    </rPh>
    <rPh sb="12" eb="14">
      <t>ネンゴ</t>
    </rPh>
    <phoneticPr fontId="3"/>
  </si>
  <si>
    <t>売上高</t>
    <rPh sb="0" eb="2">
      <t>ウリアゲ</t>
    </rPh>
    <rPh sb="2" eb="3">
      <t>ダカ</t>
    </rPh>
    <phoneticPr fontId="3"/>
  </si>
  <si>
    <t>売上成長率</t>
    <rPh sb="0" eb="2">
      <t>ウリアゲ</t>
    </rPh>
    <rPh sb="2" eb="5">
      <t>セイチョウリツ</t>
    </rPh>
    <phoneticPr fontId="3"/>
  </si>
  <si>
    <t>時点</t>
    <rPh sb="0" eb="2">
      <t>ジテン</t>
    </rPh>
    <phoneticPr fontId="3"/>
  </si>
  <si>
    <t>現在価値ファクター</t>
    <rPh sb="0" eb="2">
      <t>ゲンザイ</t>
    </rPh>
    <rPh sb="2" eb="4">
      <t>カチ</t>
    </rPh>
    <phoneticPr fontId="3"/>
  </si>
  <si>
    <r>
      <t>FCF</t>
    </r>
    <r>
      <rPr>
        <b/>
        <sz val="9"/>
        <rFont val="ＭＳ Ｐゴシック"/>
        <family val="3"/>
        <charset val="128"/>
      </rPr>
      <t>の現在価値</t>
    </r>
    <rPh sb="4" eb="6">
      <t>ゲンザイ</t>
    </rPh>
    <rPh sb="6" eb="8">
      <t>カチ</t>
    </rPh>
    <phoneticPr fontId="3"/>
  </si>
  <si>
    <t>ターミナル・バリュー成長率</t>
    <rPh sb="10" eb="13">
      <t>セイチョウリツ</t>
    </rPh>
    <phoneticPr fontId="3"/>
  </si>
  <si>
    <t>ターミナル・バリュー</t>
    <phoneticPr fontId="3"/>
  </si>
  <si>
    <r>
      <t>DCF</t>
    </r>
    <r>
      <rPr>
        <b/>
        <sz val="11"/>
        <rFont val="ＭＳ Ｐゴシック"/>
        <family val="3"/>
        <charset val="128"/>
      </rPr>
      <t>に基づく企業価値評価</t>
    </r>
    <rPh sb="4" eb="5">
      <t>モト</t>
    </rPh>
    <rPh sb="7" eb="9">
      <t>キギョウ</t>
    </rPh>
    <rPh sb="9" eb="11">
      <t>カチ</t>
    </rPh>
    <rPh sb="11" eb="13">
      <t>ヒョウカ</t>
    </rPh>
    <phoneticPr fontId="3"/>
  </si>
  <si>
    <r>
      <t>EVA</t>
    </r>
    <r>
      <rPr>
        <b/>
        <sz val="11"/>
        <rFont val="ＭＳ Ｐゴシック"/>
        <family val="3"/>
        <charset val="128"/>
      </rPr>
      <t>に基づく企業価値評価</t>
    </r>
    <rPh sb="4" eb="5">
      <t>モト</t>
    </rPh>
    <rPh sb="7" eb="13">
      <t>キギョウカチヒョウカ</t>
    </rPh>
    <phoneticPr fontId="3"/>
  </si>
  <si>
    <t>ターミナル・バリュー</t>
    <phoneticPr fontId="3"/>
  </si>
  <si>
    <r>
      <t>EVA</t>
    </r>
    <r>
      <rPr>
        <b/>
        <sz val="9"/>
        <rFont val="ＭＳ Ｐゴシック"/>
        <family val="3"/>
        <charset val="128"/>
      </rPr>
      <t>の現在価値</t>
    </r>
    <rPh sb="4" eb="6">
      <t>ゲンザイ</t>
    </rPh>
    <rPh sb="6" eb="8">
      <t>カチ</t>
    </rPh>
    <phoneticPr fontId="3"/>
  </si>
  <si>
    <t>ターミナルバリュー計算用</t>
    <rPh sb="9" eb="12">
      <t>ケイサンヨウ</t>
    </rPh>
    <phoneticPr fontId="3"/>
  </si>
  <si>
    <r>
      <t>5</t>
    </r>
    <r>
      <rPr>
        <sz val="9"/>
        <rFont val="ＭＳ Ｐゴシック"/>
        <family val="3"/>
        <charset val="128"/>
      </rPr>
      <t>年間のFCFの現在価値計</t>
    </r>
    <rPh sb="1" eb="3">
      <t>ネンカン</t>
    </rPh>
    <rPh sb="8" eb="10">
      <t>ゲンザイ</t>
    </rPh>
    <rPh sb="10" eb="12">
      <t>カチ</t>
    </rPh>
    <rPh sb="12" eb="13">
      <t>ケイ</t>
    </rPh>
    <phoneticPr fontId="3"/>
  </si>
  <si>
    <t>ターミナル・バリューの現在価値</t>
    <rPh sb="11" eb="13">
      <t>ゲンザイ</t>
    </rPh>
    <rPh sb="13" eb="15">
      <t>カチ</t>
    </rPh>
    <phoneticPr fontId="3"/>
  </si>
  <si>
    <t>金融資産（簿価）</t>
    <rPh sb="0" eb="2">
      <t>キンユウ</t>
    </rPh>
    <rPh sb="2" eb="4">
      <t>シサン</t>
    </rPh>
    <rPh sb="5" eb="7">
      <t>ボカ</t>
    </rPh>
    <phoneticPr fontId="3"/>
  </si>
  <si>
    <t>土地や金融資産の時価、もしあれば</t>
    <rPh sb="0" eb="2">
      <t>トチ</t>
    </rPh>
    <rPh sb="3" eb="5">
      <t>キンユウ</t>
    </rPh>
    <rPh sb="5" eb="7">
      <t>シサン</t>
    </rPh>
    <rPh sb="8" eb="10">
      <t>ジカ</t>
    </rPh>
    <phoneticPr fontId="3"/>
  </si>
  <si>
    <t>推定企業価値</t>
    <rPh sb="0" eb="2">
      <t>スイテイ</t>
    </rPh>
    <rPh sb="2" eb="4">
      <t>キギョウ</t>
    </rPh>
    <rPh sb="4" eb="6">
      <t>カチ</t>
    </rPh>
    <phoneticPr fontId="3"/>
  </si>
  <si>
    <t>推定株主価値</t>
    <rPh sb="0" eb="2">
      <t>スイテイ</t>
    </rPh>
    <rPh sb="2" eb="4">
      <t>カブヌシ</t>
    </rPh>
    <rPh sb="4" eb="6">
      <t>カチ</t>
    </rPh>
    <phoneticPr fontId="3"/>
  </si>
  <si>
    <t>推定株価</t>
    <rPh sb="0" eb="2">
      <t>スイテイ</t>
    </rPh>
    <rPh sb="2" eb="4">
      <t>カブカ</t>
    </rPh>
    <phoneticPr fontId="3"/>
  </si>
  <si>
    <t>企業価値評価サマリー</t>
    <rPh sb="0" eb="2">
      <t>キギョウ</t>
    </rPh>
    <rPh sb="2" eb="4">
      <t>カチ</t>
    </rPh>
    <rPh sb="4" eb="6">
      <t>ヒョウカ</t>
    </rPh>
    <phoneticPr fontId="3"/>
  </si>
  <si>
    <t>推奨</t>
    <rPh sb="0" eb="2">
      <t>スイショウ</t>
    </rPh>
    <phoneticPr fontId="3"/>
  </si>
  <si>
    <t>売り、買い、、、</t>
    <rPh sb="0" eb="1">
      <t>ウ</t>
    </rPh>
    <rPh sb="3" eb="4">
      <t>カ</t>
    </rPh>
    <phoneticPr fontId="3"/>
  </si>
  <si>
    <t>最大値</t>
    <rPh sb="0" eb="2">
      <t>サイダイ</t>
    </rPh>
    <rPh sb="2" eb="3">
      <t>チ</t>
    </rPh>
    <phoneticPr fontId="3"/>
  </si>
  <si>
    <t>最小値</t>
    <rPh sb="0" eb="3">
      <t>サイショウチ</t>
    </rPh>
    <phoneticPr fontId="3"/>
  </si>
  <si>
    <t>比較類似会社</t>
    <rPh sb="0" eb="2">
      <t>ヒカク</t>
    </rPh>
    <rPh sb="2" eb="4">
      <t>ルイジ</t>
    </rPh>
    <rPh sb="4" eb="6">
      <t>カイシャ</t>
    </rPh>
    <phoneticPr fontId="3"/>
  </si>
  <si>
    <t>市場データの入手時点</t>
    <rPh sb="0" eb="2">
      <t>シジョウ</t>
    </rPh>
    <rPh sb="6" eb="8">
      <t>ニュウシュ</t>
    </rPh>
    <rPh sb="8" eb="10">
      <t>ジテン</t>
    </rPh>
    <phoneticPr fontId="3"/>
  </si>
  <si>
    <t>価値倍率法による企業価値評価</t>
    <rPh sb="0" eb="2">
      <t>カチ</t>
    </rPh>
    <rPh sb="2" eb="4">
      <t>バイリツ</t>
    </rPh>
    <rPh sb="4" eb="5">
      <t>ホウ</t>
    </rPh>
    <rPh sb="8" eb="14">
      <t>キギョウカチヒョウカ</t>
    </rPh>
    <phoneticPr fontId="3"/>
  </si>
  <si>
    <t>価値倍率</t>
    <rPh sb="0" eb="2">
      <t>カチ</t>
    </rPh>
    <rPh sb="2" eb="4">
      <t>バイリツ</t>
    </rPh>
    <phoneticPr fontId="3"/>
  </si>
  <si>
    <t>範囲</t>
    <rPh sb="0" eb="2">
      <t>ハンイ</t>
    </rPh>
    <phoneticPr fontId="3"/>
  </si>
  <si>
    <t>最大</t>
    <rPh sb="0" eb="2">
      <t>サイダイ</t>
    </rPh>
    <phoneticPr fontId="3"/>
  </si>
  <si>
    <t>最小</t>
    <rPh sb="0" eb="2">
      <t>サイショウ</t>
    </rPh>
    <phoneticPr fontId="3"/>
  </si>
  <si>
    <r>
      <t>5</t>
    </r>
    <r>
      <rPr>
        <sz val="9"/>
        <rFont val="ＭＳ Ｐゴシック"/>
        <family val="3"/>
        <charset val="128"/>
      </rPr>
      <t>年間のEVAの現在価値計</t>
    </r>
    <rPh sb="1" eb="3">
      <t>ネンカン</t>
    </rPh>
    <rPh sb="8" eb="10">
      <t>ゲンザイ</t>
    </rPh>
    <rPh sb="10" eb="12">
      <t>カチ</t>
    </rPh>
    <rPh sb="12" eb="13">
      <t>ケイ</t>
    </rPh>
    <phoneticPr fontId="3"/>
  </si>
  <si>
    <t>財務の健全性</t>
    <rPh sb="0" eb="2">
      <t>ザイム</t>
    </rPh>
    <rPh sb="3" eb="6">
      <t>ケンゼンセイ</t>
    </rPh>
    <phoneticPr fontId="3"/>
  </si>
  <si>
    <t>事業価値</t>
    <rPh sb="0" eb="2">
      <t>ジギョウ</t>
    </rPh>
    <rPh sb="2" eb="4">
      <t>カチ</t>
    </rPh>
    <phoneticPr fontId="3"/>
  </si>
  <si>
    <t>税引前利益</t>
  </si>
  <si>
    <t>信用格付</t>
  </si>
  <si>
    <t>税引後負債コスト</t>
  </si>
  <si>
    <t>その他の非事業資産（時価）</t>
  </si>
  <si>
    <t>株式時価総額（分析時点）</t>
  </si>
  <si>
    <t>市場付加価値（MVA）</t>
  </si>
  <si>
    <t>一株あたり利益</t>
  </si>
  <si>
    <t>一株あたり株主資本</t>
  </si>
  <si>
    <t>一株あたり売上高</t>
  </si>
  <si>
    <t>価値倍率</t>
  </si>
  <si>
    <t>PER</t>
  </si>
  <si>
    <t>PBR</t>
  </si>
  <si>
    <t>売上高倍率</t>
  </si>
  <si>
    <t>÷</t>
  </si>
  <si>
    <r>
      <t>NOPAT</t>
    </r>
    <r>
      <rPr>
        <sz val="10"/>
        <rFont val="ＭＳ Ｐゴシック"/>
        <family val="3"/>
        <charset val="128"/>
      </rPr>
      <t>マージン</t>
    </r>
    <r>
      <rPr>
        <sz val="10"/>
        <rFont val="Arial"/>
        <family val="2"/>
      </rPr>
      <t xml:space="preserve"> =NOPAT</t>
    </r>
    <r>
      <rPr>
        <sz val="10"/>
        <rFont val="ＭＳ Ｐゴシック"/>
        <family val="3"/>
        <charset val="128"/>
      </rPr>
      <t>÷売上高</t>
    </r>
  </si>
  <si>
    <r>
      <rPr>
        <sz val="10"/>
        <rFont val="ＭＳ Ｐゴシック"/>
        <family val="3"/>
        <charset val="128"/>
      </rPr>
      <t>投下資本回転率</t>
    </r>
    <r>
      <rPr>
        <sz val="10"/>
        <rFont val="Arial"/>
        <family val="2"/>
      </rPr>
      <t xml:space="preserve"> =</t>
    </r>
    <r>
      <rPr>
        <sz val="10"/>
        <rFont val="ＭＳ Ｐゴシック"/>
        <family val="3"/>
        <charset val="128"/>
      </rPr>
      <t>売上高÷期首投下資本</t>
    </r>
  </si>
  <si>
    <t>平均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</si>
</sst>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176" formatCode="&quot;$&quot;#,##0_);[Red]\(&quot;$&quot;#,##0\)"/>
    <numFmt numFmtId="177" formatCode="#,##0.000;[Red]\-#,##0.000"/>
    <numFmt numFmtId="178" formatCode="0.0%"/>
    <numFmt numFmtId="179" formatCode="#,##0.0;[Red]\-#,##0.0"/>
    <numFmt numFmtId="180" formatCode="0.000000_)"/>
    <numFmt numFmtId="181" formatCode="_(#,##0.0&quot;%&quot;_);\(#,##0.0&quot;%&quot;\);_(0.0&quot;%&quot;_)"/>
    <numFmt numFmtId="182" formatCode="#,##0;\(#,##0\)"/>
    <numFmt numFmtId="183" formatCode="&quot;¥&quot;#,##0_);&quot;¥&quot;\(#,##0\);&quot;¥&quot;0_);@"/>
    <numFmt numFmtId="184" formatCode="&quot;¥&quot;#,##0.00_);&quot;¥&quot;\(#,##0.00\);&quot;¥&quot;0.00_);@"/>
    <numFmt numFmtId="185" formatCode="0.0;\(0.0\);0.0"/>
    <numFmt numFmtId="186" formatCode="0.000_)"/>
    <numFmt numFmtId="187" formatCode="#,##0.0&quot;%&quot;_);\(#,##0.0&quot;%&quot;\);0.0&quot;%&quot;_)"/>
    <numFmt numFmtId="188" formatCode="_(#,##0.00\ \x_);\(#,##0.00\ \x\);0.00\ \x_)"/>
    <numFmt numFmtId="189" formatCode="0.0%;\(0.0%\)"/>
    <numFmt numFmtId="190" formatCode="_(#,##0%_);\(#,##0%\);_(0%_)"/>
    <numFmt numFmtId="191" formatCode="_(#,##0.00%_);\(#,##0.00%\);_(0.00%_)"/>
    <numFmt numFmtId="192" formatCode="_(#,##0.0%_);\(#,##0.0%\);_(0.0%_)"/>
    <numFmt numFmtId="193" formatCode="#,##0.0%_);\(#,##0.0%\);0.0%_)"/>
    <numFmt numFmtId="194" formatCode="#,##0_);\(#,##0\);0_)"/>
    <numFmt numFmtId="195" formatCode="#,##0.0_);\(#,##0.0\);0.0_)"/>
    <numFmt numFmtId="196" formatCode="#,##0.00_);\(#,##0.00\);0.00_)"/>
    <numFmt numFmtId="197" formatCode="#,##0.000_);\(#,##0.000\);0.000_)"/>
    <numFmt numFmtId="198" formatCode="#,##0.0000_);\(#,##0.0000\);0.0000_)"/>
    <numFmt numFmtId="199" formatCode="#,##0_);\(#,##0\);0_);@"/>
    <numFmt numFmtId="200" formatCode="* _(#,##0.0_);* \(#,##0.0\);* _(0.0_);* @_)"/>
    <numFmt numFmtId="201" formatCode="#,##0.000"/>
    <numFmt numFmtId="202" formatCode="#,##0.000_);[Red]\(#,##0.000\)"/>
    <numFmt numFmtId="203" formatCode="0.0000_ "/>
    <numFmt numFmtId="204" formatCode="yyyy/m/d;@"/>
    <numFmt numFmtId="205" formatCode="0.000000000000000%"/>
    <numFmt numFmtId="206" formatCode="#,##0.0_ ;[Red]\-#,##0.0\ "/>
  </numFmts>
  <fonts count="38" x14ac:knownFonts="1"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name val="Arial"/>
      <family val="2"/>
    </font>
    <font>
      <b/>
      <sz val="11"/>
      <name val="Arial"/>
      <family val="2"/>
    </font>
    <font>
      <b/>
      <u/>
      <sz val="11"/>
      <color indexed="12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u/>
      <sz val="11"/>
      <name val="Arial"/>
      <family val="2"/>
    </font>
    <font>
      <b/>
      <sz val="9"/>
      <name val="ＭＳ Ｐゴシック"/>
      <family val="3"/>
      <charset val="128"/>
    </font>
    <font>
      <sz val="10"/>
      <name val="Times New Roman"/>
      <family val="1"/>
    </font>
    <font>
      <sz val="8"/>
      <color indexed="12"/>
      <name val="Times"/>
      <family val="1"/>
    </font>
    <font>
      <sz val="9"/>
      <name val="Times New Roman"/>
      <family val="1"/>
    </font>
    <font>
      <sz val="10"/>
      <name val="Times"/>
      <family val="1"/>
    </font>
    <font>
      <b/>
      <i/>
      <sz val="12"/>
      <color indexed="39"/>
      <name val="Arial"/>
      <family val="2"/>
    </font>
    <font>
      <b/>
      <sz val="9"/>
      <name val="Times New Roman"/>
      <family val="1"/>
    </font>
    <font>
      <b/>
      <sz val="10"/>
      <color indexed="17"/>
      <name val="Arial"/>
      <family val="2"/>
    </font>
    <font>
      <sz val="10"/>
      <color indexed="17"/>
      <name val="Arial"/>
      <family val="2"/>
    </font>
    <font>
      <sz val="8"/>
      <color indexed="17"/>
      <name val="Times"/>
      <family val="1"/>
    </font>
    <font>
      <sz val="8"/>
      <color indexed="14"/>
      <name val="Times"/>
      <family val="1"/>
    </font>
    <font>
      <u val="doubleAccounting"/>
      <sz val="9"/>
      <name val="Times New Roman"/>
      <family val="1"/>
    </font>
    <font>
      <u val="singleAccounting"/>
      <sz val="9"/>
      <name val="Times New Roman"/>
      <family val="1"/>
    </font>
    <font>
      <sz val="10"/>
      <name val="Arial"/>
      <family val="2"/>
    </font>
    <font>
      <sz val="10"/>
      <name val="MS Serif"/>
      <family val="1"/>
    </font>
    <font>
      <b/>
      <u/>
      <sz val="10"/>
      <name val="Times"/>
      <family val="1"/>
    </font>
    <font>
      <b/>
      <sz val="9"/>
      <color indexed="10"/>
      <name val="Arial"/>
      <family val="2"/>
    </font>
    <font>
      <sz val="9"/>
      <color indexed="9"/>
      <name val="Arial"/>
      <family val="2"/>
    </font>
    <font>
      <sz val="9"/>
      <color indexed="8"/>
      <name val="Arial"/>
      <family val="2"/>
    </font>
    <font>
      <u/>
      <sz val="11"/>
      <color indexed="8"/>
      <name val="Arial"/>
      <family val="2"/>
    </font>
    <font>
      <sz val="9"/>
      <color indexed="8"/>
      <name val="ＭＳ Ｐゴシック"/>
      <family val="3"/>
      <charset val="128"/>
    </font>
    <font>
      <sz val="9"/>
      <color rgb="FFFF0000"/>
      <name val="Arial"/>
      <family val="2"/>
    </font>
    <font>
      <sz val="9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4"/>
        <bgColor indexed="13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23"/>
      </bottom>
      <diagonal/>
    </border>
    <border>
      <left style="thin">
        <color indexed="23"/>
      </left>
      <right style="dashed">
        <color indexed="9"/>
      </right>
      <top/>
      <bottom style="dashed">
        <color indexed="9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60">
    <xf numFmtId="0" fontId="0" fillId="0" borderId="0">
      <alignment vertical="center"/>
    </xf>
    <xf numFmtId="180" fontId="2" fillId="2" borderId="0" applyNumberFormat="0" applyFill="0" applyBorder="0" applyAlignment="0" applyProtection="0">
      <protection locked="0"/>
    </xf>
    <xf numFmtId="176" fontId="13" fillId="0" borderId="1" applyBorder="0"/>
    <xf numFmtId="181" fontId="14" fillId="3" borderId="0" applyFill="0" applyBorder="0" applyAlignment="0" applyProtection="0">
      <alignment horizontal="right"/>
    </xf>
    <xf numFmtId="182" fontId="15" fillId="0" borderId="0"/>
    <xf numFmtId="183" fontId="14" fillId="0" borderId="0" applyFill="0" applyBorder="0" applyAlignment="0" applyProtection="0">
      <alignment horizontal="right"/>
    </xf>
    <xf numFmtId="183" fontId="14" fillId="0" borderId="0" applyFill="0" applyBorder="0" applyAlignment="0">
      <alignment horizontal="right"/>
    </xf>
    <xf numFmtId="184" fontId="14" fillId="0" borderId="0" applyFill="0" applyBorder="0" applyAlignment="0">
      <alignment horizontal="right"/>
    </xf>
    <xf numFmtId="185" fontId="14" fillId="0" borderId="0" applyFill="0" applyBorder="0" applyAlignment="0">
      <alignment horizontal="center"/>
    </xf>
    <xf numFmtId="178" fontId="12" fillId="0" borderId="2" applyFill="0" applyBorder="0" applyAlignment="0">
      <alignment horizontal="centerContinuous"/>
    </xf>
    <xf numFmtId="0" fontId="16" fillId="2" borderId="0"/>
    <xf numFmtId="186" fontId="2" fillId="0" borderId="3" applyBorder="0">
      <protection locked="0"/>
    </xf>
    <xf numFmtId="187" fontId="17" fillId="4" borderId="4" applyFont="0" applyBorder="0" applyAlignment="0"/>
    <xf numFmtId="187" fontId="17" fillId="4" borderId="4" applyFill="0" applyAlignment="0"/>
    <xf numFmtId="188" fontId="14" fillId="0" borderId="0" applyFill="0" applyBorder="0" applyAlignment="0">
      <alignment horizontal="right"/>
    </xf>
    <xf numFmtId="0" fontId="18" fillId="0" borderId="0">
      <alignment horizontal="right"/>
    </xf>
    <xf numFmtId="0" fontId="19" fillId="0" borderId="5" applyNumberFormat="0" applyAlignment="0"/>
    <xf numFmtId="37" fontId="13" fillId="0" borderId="0"/>
    <xf numFmtId="38" fontId="20" fillId="0" borderId="0"/>
    <xf numFmtId="189" fontId="21" fillId="0" borderId="0"/>
    <xf numFmtId="190" fontId="14" fillId="0" borderId="0" applyFill="0" applyBorder="0" applyAlignment="0">
      <alignment horizontal="right"/>
    </xf>
    <xf numFmtId="191" fontId="14" fillId="0" borderId="0" applyFill="0" applyBorder="0" applyAlignment="0"/>
    <xf numFmtId="192" fontId="17" fillId="0" borderId="4">
      <alignment horizontal="right"/>
    </xf>
    <xf numFmtId="193" fontId="17" fillId="4" borderId="4" applyFont="0" applyBorder="0" applyAlignment="0">
      <alignment horizontal="right"/>
    </xf>
    <xf numFmtId="193" fontId="17" fillId="0" borderId="4" applyFill="0" applyAlignment="0">
      <alignment horizontal="right"/>
    </xf>
    <xf numFmtId="193" fontId="17" fillId="0" borderId="0" applyFill="0" applyAlignment="0">
      <alignment horizontal="right"/>
    </xf>
    <xf numFmtId="194" fontId="14" fillId="0" borderId="0" applyFill="0" applyBorder="0" applyAlignment="0">
      <alignment horizontal="left"/>
    </xf>
    <xf numFmtId="195" fontId="14" fillId="0" borderId="0" applyFill="0" applyBorder="0" applyAlignment="0">
      <alignment horizontal="right"/>
    </xf>
    <xf numFmtId="196" fontId="14" fillId="0" borderId="0" applyFill="0" applyBorder="0" applyAlignment="0">
      <alignment horizontal="right"/>
    </xf>
    <xf numFmtId="197" fontId="14" fillId="0" borderId="0" applyFill="0" applyBorder="0" applyAlignment="0">
      <alignment horizontal="right"/>
    </xf>
    <xf numFmtId="198" fontId="14" fillId="0" borderId="0" applyFill="0" applyBorder="0" applyAlignment="0"/>
    <xf numFmtId="199" fontId="14" fillId="0" borderId="0" applyBorder="0" applyAlignment="0">
      <alignment horizontal="right"/>
    </xf>
    <xf numFmtId="194" fontId="17" fillId="0" borderId="4" applyFill="0" applyAlignment="0">
      <alignment horizontal="right"/>
    </xf>
    <xf numFmtId="37" fontId="17" fillId="0" borderId="0" applyFill="0" applyAlignment="0">
      <alignment horizontal="right"/>
    </xf>
    <xf numFmtId="200" fontId="22" fillId="0" borderId="0" applyNumberFormat="0" applyFill="0" applyBorder="0" applyAlignment="0">
      <alignment horizontal="right"/>
    </xf>
    <xf numFmtId="199" fontId="14" fillId="5" borderId="0" applyFont="0" applyBorder="0" applyAlignment="0">
      <alignment horizontal="right"/>
    </xf>
    <xf numFmtId="194" fontId="17" fillId="0" borderId="4" applyFill="0" applyBorder="0" applyAlignment="0">
      <alignment horizontal="right"/>
      <protection locked="0"/>
    </xf>
    <xf numFmtId="0" fontId="23" fillId="0" borderId="0" applyFill="0" applyBorder="0">
      <alignment horizontal="right"/>
    </xf>
    <xf numFmtId="181" fontId="14" fillId="3" borderId="0" applyFill="0" applyBorder="0" applyAlignment="0">
      <alignment horizontal="right"/>
    </xf>
    <xf numFmtId="201" fontId="12" fillId="0" borderId="0">
      <protection locked="0"/>
    </xf>
    <xf numFmtId="3" fontId="24" fillId="2" borderId="6" applyFont="0" applyFill="0" applyBorder="0" applyAlignment="0" applyProtection="0"/>
    <xf numFmtId="4" fontId="24" fillId="2" borderId="6" applyFont="0" applyFill="0" applyBorder="0" applyAlignment="0" applyProtection="0"/>
    <xf numFmtId="202" fontId="24" fillId="2" borderId="6" applyFont="0" applyFill="0" applyBorder="0" applyAlignment="0" applyProtection="0"/>
    <xf numFmtId="37" fontId="24" fillId="2" borderId="7" applyFont="0" applyFill="0" applyBorder="0" applyAlignment="0" applyProtection="0"/>
    <xf numFmtId="10" fontId="24" fillId="2" borderId="6" applyFont="0" applyFill="0" applyBorder="0" applyAlignment="0" applyProtection="0"/>
    <xf numFmtId="9" fontId="24" fillId="2" borderId="6" applyFont="0" applyFill="0" applyBorder="0" applyAlignment="0" applyProtection="0"/>
    <xf numFmtId="2" fontId="24" fillId="2" borderId="6" applyFont="0" applyFill="0" applyBorder="0" applyAlignment="0" applyProtection="0"/>
    <xf numFmtId="49" fontId="14" fillId="0" borderId="0" applyFill="0" applyBorder="0" applyAlignment="0">
      <alignment horizontal="right"/>
    </xf>
    <xf numFmtId="0" fontId="25" fillId="0" borderId="8" applyNumberFormat="0" applyFill="0" applyProtection="0"/>
    <xf numFmtId="0" fontId="26" fillId="0" borderId="0"/>
    <xf numFmtId="9" fontId="1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  <xf numFmtId="0" fontId="2" fillId="0" borderId="0"/>
    <xf numFmtId="0" fontId="4" fillId="0" borderId="0">
      <alignment vertical="center"/>
    </xf>
    <xf numFmtId="0" fontId="24" fillId="0" borderId="0"/>
    <xf numFmtId="9" fontId="2" fillId="0" borderId="0" applyFont="0" applyFill="0" applyBorder="0" applyAlignment="0" applyProtection="0">
      <alignment vertical="center"/>
    </xf>
  </cellStyleXfs>
  <cellXfs count="214">
    <xf numFmtId="0" fontId="0" fillId="0" borderId="0" xfId="0">
      <alignment vertical="center"/>
    </xf>
    <xf numFmtId="0" fontId="5" fillId="0" borderId="0" xfId="56" applyFont="1"/>
    <xf numFmtId="0" fontId="5" fillId="0" borderId="0" xfId="56" applyFont="1" applyFill="1"/>
    <xf numFmtId="0" fontId="5" fillId="0" borderId="0" xfId="56" applyFont="1" applyFill="1" applyBorder="1"/>
    <xf numFmtId="0" fontId="6" fillId="0" borderId="0" xfId="56" applyFont="1"/>
    <xf numFmtId="0" fontId="7" fillId="0" borderId="0" xfId="56" applyFont="1"/>
    <xf numFmtId="0" fontId="6" fillId="0" borderId="0" xfId="56" applyFont="1" applyFill="1"/>
    <xf numFmtId="0" fontId="6" fillId="0" borderId="0" xfId="56" applyFont="1" applyAlignment="1">
      <alignment horizontal="right"/>
    </xf>
    <xf numFmtId="0" fontId="6" fillId="0" borderId="0" xfId="56" applyFont="1" applyFill="1" applyAlignment="1">
      <alignment horizontal="right"/>
    </xf>
    <xf numFmtId="0" fontId="8" fillId="0" borderId="0" xfId="56" applyNumberFormat="1" applyFont="1" applyFill="1" applyAlignment="1">
      <alignment horizontal="centerContinuous"/>
    </xf>
    <xf numFmtId="0" fontId="8" fillId="0" borderId="4" xfId="56" applyNumberFormat="1" applyFont="1" applyFill="1" applyBorder="1" applyAlignment="1">
      <alignment horizontal="center"/>
    </xf>
    <xf numFmtId="0" fontId="9" fillId="0" borderId="0" xfId="56" quotePrefix="1" applyFont="1" applyFill="1" applyAlignment="1">
      <alignment horizontal="center"/>
    </xf>
    <xf numFmtId="17" fontId="9" fillId="0" borderId="0" xfId="56" quotePrefix="1" applyNumberFormat="1" applyFont="1" applyFill="1" applyAlignment="1">
      <alignment horizontal="center"/>
    </xf>
    <xf numFmtId="0" fontId="8" fillId="0" borderId="0" xfId="56" applyFont="1" applyFill="1"/>
    <xf numFmtId="38" fontId="8" fillId="0" borderId="0" xfId="54" applyFont="1" applyFill="1"/>
    <xf numFmtId="38" fontId="8" fillId="0" borderId="0" xfId="54" applyFont="1" applyFill="1" applyBorder="1"/>
    <xf numFmtId="0" fontId="8" fillId="0" borderId="0" xfId="56" applyFont="1"/>
    <xf numFmtId="0" fontId="8" fillId="0" borderId="8" xfId="56" applyFont="1" applyFill="1" applyBorder="1"/>
    <xf numFmtId="38" fontId="8" fillId="0" borderId="8" xfId="54" applyFont="1" applyFill="1" applyBorder="1"/>
    <xf numFmtId="38" fontId="5" fillId="0" borderId="0" xfId="54" applyFont="1" applyFill="1"/>
    <xf numFmtId="38" fontId="5" fillId="0" borderId="0" xfId="54" applyFont="1" applyFill="1" applyBorder="1"/>
    <xf numFmtId="0" fontId="5" fillId="0" borderId="8" xfId="56" applyFont="1" applyFill="1" applyBorder="1"/>
    <xf numFmtId="38" fontId="5" fillId="0" borderId="8" xfId="54" applyFont="1" applyFill="1" applyBorder="1"/>
    <xf numFmtId="38" fontId="8" fillId="0" borderId="9" xfId="54" applyFont="1" applyFill="1" applyBorder="1"/>
    <xf numFmtId="0" fontId="8" fillId="0" borderId="9" xfId="56" applyFont="1" applyBorder="1"/>
    <xf numFmtId="38" fontId="8" fillId="0" borderId="4" xfId="54" applyFont="1" applyBorder="1"/>
    <xf numFmtId="38" fontId="5" fillId="0" borderId="0" xfId="54" applyFont="1"/>
    <xf numFmtId="9" fontId="5" fillId="0" borderId="0" xfId="51" applyFont="1"/>
    <xf numFmtId="0" fontId="10" fillId="0" borderId="0" xfId="56" applyFont="1"/>
    <xf numFmtId="0" fontId="8" fillId="0" borderId="4" xfId="56" applyFont="1" applyBorder="1"/>
    <xf numFmtId="0" fontId="8" fillId="0" borderId="4" xfId="56" applyFont="1" applyFill="1" applyBorder="1"/>
    <xf numFmtId="0" fontId="11" fillId="0" borderId="0" xfId="56" applyFont="1" applyFill="1"/>
    <xf numFmtId="0" fontId="8" fillId="0" borderId="0" xfId="56" applyNumberFormat="1" applyFont="1" applyFill="1" applyBorder="1" applyAlignment="1">
      <alignment horizontal="center"/>
    </xf>
    <xf numFmtId="0" fontId="9" fillId="0" borderId="0" xfId="56" quotePrefix="1" applyFont="1" applyFill="1" applyBorder="1" applyAlignment="1">
      <alignment horizontal="center"/>
    </xf>
    <xf numFmtId="0" fontId="5" fillId="0" borderId="0" xfId="56" quotePrefix="1" applyFont="1" applyFill="1"/>
    <xf numFmtId="38" fontId="5" fillId="0" borderId="0" xfId="54" applyFont="1" applyBorder="1"/>
    <xf numFmtId="38" fontId="8" fillId="0" borderId="0" xfId="54" applyFont="1" applyBorder="1"/>
    <xf numFmtId="38" fontId="8" fillId="0" borderId="4" xfId="54" applyFont="1" applyFill="1" applyBorder="1"/>
    <xf numFmtId="10" fontId="5" fillId="0" borderId="0" xfId="51" applyNumberFormat="1" applyFont="1" applyFill="1"/>
    <xf numFmtId="10" fontId="8" fillId="0" borderId="0" xfId="51" applyNumberFormat="1" applyFont="1" applyFill="1"/>
    <xf numFmtId="0" fontId="11" fillId="0" borderId="0" xfId="56" applyFont="1"/>
    <xf numFmtId="0" fontId="8" fillId="0" borderId="0" xfId="56" applyFont="1" applyFill="1" applyBorder="1"/>
    <xf numFmtId="38" fontId="5" fillId="0" borderId="0" xfId="56" applyNumberFormat="1" applyFont="1"/>
    <xf numFmtId="203" fontId="5" fillId="0" borderId="0" xfId="56" applyNumberFormat="1" applyFont="1"/>
    <xf numFmtId="0" fontId="27" fillId="0" borderId="0" xfId="56" applyFont="1" applyFill="1"/>
    <xf numFmtId="0" fontId="5" fillId="0" borderId="0" xfId="56" applyFont="1" applyFill="1" applyBorder="1" applyAlignment="1">
      <alignment horizontal="right"/>
    </xf>
    <xf numFmtId="0" fontId="5" fillId="0" borderId="8" xfId="56" quotePrefix="1" applyFont="1" applyFill="1" applyBorder="1"/>
    <xf numFmtId="0" fontId="8" fillId="0" borderId="0" xfId="56" applyFont="1" applyBorder="1"/>
    <xf numFmtId="0" fontId="5" fillId="0" borderId="0" xfId="56" applyFont="1" applyBorder="1"/>
    <xf numFmtId="0" fontId="5" fillId="0" borderId="0" xfId="56" quotePrefix="1" applyFont="1" applyFill="1" applyBorder="1"/>
    <xf numFmtId="0" fontId="8" fillId="0" borderId="0" xfId="56" quotePrefix="1" applyFont="1" applyFill="1"/>
    <xf numFmtId="38" fontId="8" fillId="0" borderId="4" xfId="54" quotePrefix="1" applyFont="1" applyBorder="1"/>
    <xf numFmtId="0" fontId="10" fillId="0" borderId="0" xfId="56" applyFont="1" applyFill="1"/>
    <xf numFmtId="0" fontId="8" fillId="0" borderId="11" xfId="56" quotePrefix="1" applyFont="1" applyFill="1" applyBorder="1"/>
    <xf numFmtId="38" fontId="8" fillId="0" borderId="11" xfId="54" applyFont="1" applyFill="1" applyBorder="1"/>
    <xf numFmtId="0" fontId="8" fillId="0" borderId="0" xfId="56" quotePrefix="1" applyFont="1" applyFill="1" applyBorder="1"/>
    <xf numFmtId="178" fontId="5" fillId="0" borderId="0" xfId="56" applyNumberFormat="1" applyFont="1"/>
    <xf numFmtId="0" fontId="5" fillId="0" borderId="4" xfId="56" applyFont="1" applyBorder="1" applyAlignment="1">
      <alignment horizontal="center"/>
    </xf>
    <xf numFmtId="0" fontId="5" fillId="0" borderId="0" xfId="56" applyFont="1" applyAlignment="1">
      <alignment horizontal="center"/>
    </xf>
    <xf numFmtId="178" fontId="5" fillId="0" borderId="0" xfId="51" applyNumberFormat="1" applyFont="1" applyBorder="1"/>
    <xf numFmtId="178" fontId="28" fillId="0" borderId="0" xfId="51" applyNumberFormat="1" applyFont="1" applyBorder="1"/>
    <xf numFmtId="178" fontId="5" fillId="0" borderId="8" xfId="51" applyNumberFormat="1" applyFont="1" applyBorder="1"/>
    <xf numFmtId="178" fontId="5" fillId="0" borderId="0" xfId="51" applyNumberFormat="1" applyFont="1"/>
    <xf numFmtId="178" fontId="5" fillId="0" borderId="9" xfId="51" applyNumberFormat="1" applyFont="1" applyBorder="1"/>
    <xf numFmtId="178" fontId="5" fillId="0" borderId="4" xfId="51" applyNumberFormat="1" applyFont="1" applyBorder="1"/>
    <xf numFmtId="0" fontId="5" fillId="0" borderId="4" xfId="56" applyNumberFormat="1" applyFont="1" applyFill="1" applyBorder="1" applyAlignment="1">
      <alignment horizontal="center"/>
    </xf>
    <xf numFmtId="0" fontId="5" fillId="0" borderId="0" xfId="56" applyNumberFormat="1" applyFont="1" applyFill="1" applyAlignment="1">
      <alignment horizontal="center"/>
    </xf>
    <xf numFmtId="0" fontId="27" fillId="0" borderId="0" xfId="56" applyFont="1" applyFill="1" applyBorder="1"/>
    <xf numFmtId="38" fontId="5" fillId="0" borderId="4" xfId="54" applyFont="1" applyFill="1" applyBorder="1"/>
    <xf numFmtId="0" fontId="5" fillId="0" borderId="0" xfId="56" quotePrefix="1" applyFont="1"/>
    <xf numFmtId="0" fontId="8" fillId="0" borderId="13" xfId="56" applyFont="1" applyFill="1" applyBorder="1"/>
    <xf numFmtId="0" fontId="5" fillId="0" borderId="4" xfId="56" applyFont="1" applyFill="1" applyBorder="1"/>
    <xf numFmtId="38" fontId="8" fillId="0" borderId="13" xfId="54" applyFont="1" applyBorder="1"/>
    <xf numFmtId="38" fontId="5" fillId="0" borderId="13" xfId="54" applyFont="1" applyBorder="1"/>
    <xf numFmtId="38" fontId="8" fillId="0" borderId="4" xfId="52" applyFont="1" applyBorder="1" applyAlignment="1"/>
    <xf numFmtId="38" fontId="5" fillId="0" borderId="4" xfId="54" applyFont="1" applyBorder="1"/>
    <xf numFmtId="0" fontId="24" fillId="0" borderId="0" xfId="0" applyFont="1" applyBorder="1" applyAlignment="1">
      <alignment vertical="center"/>
    </xf>
    <xf numFmtId="9" fontId="5" fillId="0" borderId="0" xfId="50" applyFont="1" applyBorder="1" applyAlignment="1"/>
    <xf numFmtId="178" fontId="5" fillId="0" borderId="0" xfId="50" applyNumberFormat="1" applyFont="1" applyBorder="1" applyAlignment="1"/>
    <xf numFmtId="179" fontId="5" fillId="0" borderId="0" xfId="52" applyNumberFormat="1" applyFont="1" applyBorder="1" applyAlignment="1"/>
    <xf numFmtId="38" fontId="5" fillId="0" borderId="0" xfId="56" applyNumberFormat="1" applyFont="1" applyFill="1" applyBorder="1"/>
    <xf numFmtId="178" fontId="5" fillId="0" borderId="0" xfId="54" applyNumberFormat="1" applyFont="1" applyFill="1" applyBorder="1"/>
    <xf numFmtId="0" fontId="5" fillId="0" borderId="0" xfId="0" applyFont="1" applyFill="1" applyBorder="1" applyAlignment="1">
      <alignment vertical="center"/>
    </xf>
    <xf numFmtId="178" fontId="5" fillId="0" borderId="8" xfId="50" applyNumberFormat="1" applyFont="1" applyBorder="1" applyAlignment="1"/>
    <xf numFmtId="38" fontId="5" fillId="0" borderId="8" xfId="54" applyFont="1" applyBorder="1"/>
    <xf numFmtId="38" fontId="5" fillId="0" borderId="0" xfId="56" applyNumberFormat="1" applyFont="1" applyBorder="1"/>
    <xf numFmtId="178" fontId="8" fillId="0" borderId="0" xfId="50" applyNumberFormat="1" applyFont="1" applyBorder="1" applyAlignment="1"/>
    <xf numFmtId="178" fontId="5" fillId="0" borderId="0" xfId="50" applyNumberFormat="1" applyFont="1" applyAlignment="1"/>
    <xf numFmtId="178" fontId="5" fillId="0" borderId="0" xfId="50" applyNumberFormat="1" applyFont="1" applyFill="1" applyAlignment="1"/>
    <xf numFmtId="178" fontId="8" fillId="0" borderId="13" xfId="50" applyNumberFormat="1" applyFont="1" applyBorder="1" applyAlignment="1"/>
    <xf numFmtId="178" fontId="8" fillId="0" borderId="4" xfId="50" applyNumberFormat="1" applyFont="1" applyBorder="1" applyAlignment="1"/>
    <xf numFmtId="177" fontId="5" fillId="0" borderId="0" xfId="52" applyNumberFormat="1" applyFont="1" applyFill="1" applyAlignment="1"/>
    <xf numFmtId="0" fontId="5" fillId="0" borderId="4" xfId="56" applyFont="1" applyBorder="1"/>
    <xf numFmtId="0" fontId="29" fillId="0" borderId="0" xfId="0" applyFont="1">
      <alignment vertical="center"/>
    </xf>
    <xf numFmtId="0" fontId="29" fillId="0" borderId="10" xfId="0" applyFont="1" applyBorder="1">
      <alignment vertical="center"/>
    </xf>
    <xf numFmtId="38" fontId="29" fillId="0" borderId="0" xfId="0" applyNumberFormat="1" applyFont="1">
      <alignment vertical="center"/>
    </xf>
    <xf numFmtId="38" fontId="29" fillId="0" borderId="10" xfId="0" applyNumberFormat="1" applyFont="1" applyBorder="1">
      <alignment vertical="center"/>
    </xf>
    <xf numFmtId="40" fontId="29" fillId="0" borderId="10" xfId="0" applyNumberFormat="1" applyFont="1" applyBorder="1">
      <alignment vertical="center"/>
    </xf>
    <xf numFmtId="0" fontId="29" fillId="0" borderId="0" xfId="57" applyFont="1" applyBorder="1" applyAlignment="1">
      <alignment horizontal="center" vertical="center"/>
    </xf>
    <xf numFmtId="179" fontId="29" fillId="0" borderId="0" xfId="53" applyNumberFormat="1" applyFont="1" applyBorder="1" applyAlignment="1">
      <alignment horizontal="center" vertical="center"/>
    </xf>
    <xf numFmtId="179" fontId="29" fillId="0" borderId="0" xfId="0" applyNumberFormat="1" applyFont="1" applyBorder="1" applyAlignment="1">
      <alignment horizontal="center" vertical="center"/>
    </xf>
    <xf numFmtId="40" fontId="29" fillId="0" borderId="0" xfId="0" applyNumberFormat="1" applyFont="1" applyBorder="1" applyAlignment="1">
      <alignment horizontal="center" vertical="center"/>
    </xf>
    <xf numFmtId="0" fontId="30" fillId="0" borderId="0" xfId="0" applyFont="1">
      <alignment vertical="center"/>
    </xf>
    <xf numFmtId="0" fontId="29" fillId="0" borderId="0" xfId="0" applyFont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Continuous" vertical="center"/>
    </xf>
    <xf numFmtId="38" fontId="29" fillId="0" borderId="0" xfId="0" applyNumberFormat="1" applyFont="1" applyFill="1">
      <alignment vertical="center"/>
    </xf>
    <xf numFmtId="0" fontId="29" fillId="0" borderId="0" xfId="0" quotePrefix="1" applyFont="1">
      <alignment vertical="center"/>
    </xf>
    <xf numFmtId="0" fontId="31" fillId="0" borderId="0" xfId="0" applyFont="1">
      <alignment vertical="center"/>
    </xf>
    <xf numFmtId="0" fontId="29" fillId="0" borderId="8" xfId="0" applyFont="1" applyBorder="1">
      <alignment vertical="center"/>
    </xf>
    <xf numFmtId="10" fontId="29" fillId="0" borderId="0" xfId="0" applyNumberFormat="1" applyFont="1">
      <alignment vertical="center"/>
    </xf>
    <xf numFmtId="10" fontId="29" fillId="0" borderId="4" xfId="0" applyNumberFormat="1" applyFont="1" applyBorder="1">
      <alignment vertical="center"/>
    </xf>
    <xf numFmtId="179" fontId="29" fillId="0" borderId="8" xfId="52" applyNumberFormat="1" applyFont="1" applyBorder="1">
      <alignment vertical="center"/>
    </xf>
    <xf numFmtId="179" fontId="29" fillId="0" borderId="0" xfId="52" applyNumberFormat="1" applyFont="1">
      <alignment vertical="center"/>
    </xf>
    <xf numFmtId="179" fontId="29" fillId="0" borderId="4" xfId="52" applyNumberFormat="1" applyFont="1" applyBorder="1">
      <alignment vertical="center"/>
    </xf>
    <xf numFmtId="178" fontId="29" fillId="0" borderId="0" xfId="50" applyNumberFormat="1" applyFont="1">
      <alignment vertical="center"/>
    </xf>
    <xf numFmtId="0" fontId="5" fillId="0" borderId="8" xfId="56" applyFont="1" applyBorder="1"/>
    <xf numFmtId="38" fontId="5" fillId="0" borderId="8" xfId="56" applyNumberFormat="1" applyFont="1" applyBorder="1"/>
    <xf numFmtId="0" fontId="32" fillId="0" borderId="0" xfId="56" applyFont="1"/>
    <xf numFmtId="10" fontId="5" fillId="0" borderId="0" xfId="50" applyNumberFormat="1" applyFont="1" applyAlignment="1"/>
    <xf numFmtId="38" fontId="5" fillId="0" borderId="0" xfId="52" applyFont="1" applyAlignment="1"/>
    <xf numFmtId="178" fontId="5" fillId="0" borderId="8" xfId="50" applyNumberFormat="1" applyFont="1" applyFill="1" applyBorder="1" applyAlignment="1"/>
    <xf numFmtId="205" fontId="5" fillId="0" borderId="0" xfId="56" applyNumberFormat="1" applyFont="1"/>
    <xf numFmtId="38" fontId="8" fillId="0" borderId="0" xfId="52" applyFont="1" applyAlignment="1"/>
    <xf numFmtId="38" fontId="5" fillId="0" borderId="0" xfId="56" quotePrefix="1" applyNumberFormat="1" applyFont="1" applyFill="1" applyAlignment="1">
      <alignment horizontal="right"/>
    </xf>
    <xf numFmtId="206" fontId="5" fillId="0" borderId="0" xfId="56" applyNumberFormat="1" applyFont="1"/>
    <xf numFmtId="38" fontId="32" fillId="0" borderId="0" xfId="54" applyFont="1" applyFill="1"/>
    <xf numFmtId="38" fontId="0" fillId="0" borderId="0" xfId="0" applyNumberFormat="1">
      <alignment vertical="center"/>
    </xf>
    <xf numFmtId="0" fontId="29" fillId="0" borderId="0" xfId="0" applyFont="1" applyBorder="1" applyAlignment="1">
      <alignment horizontal="centerContinuous" vertical="center"/>
    </xf>
    <xf numFmtId="178" fontId="5" fillId="0" borderId="0" xfId="51" applyNumberFormat="1" applyFont="1" applyFill="1" applyBorder="1"/>
    <xf numFmtId="38" fontId="5" fillId="0" borderId="4" xfId="56" applyNumberFormat="1" applyFont="1" applyFill="1" applyBorder="1" applyAlignment="1">
      <alignment horizontal="right"/>
    </xf>
    <xf numFmtId="0" fontId="33" fillId="0" borderId="0" xfId="56" applyFont="1"/>
    <xf numFmtId="0" fontId="11" fillId="0" borderId="0" xfId="56" applyNumberFormat="1" applyFont="1" applyFill="1" applyAlignment="1">
      <alignment horizontal="centerContinuous"/>
    </xf>
    <xf numFmtId="0" fontId="35" fillId="0" borderId="0" xfId="56" applyFont="1"/>
    <xf numFmtId="0" fontId="33" fillId="0" borderId="0" xfId="56" quotePrefix="1" applyFont="1" applyFill="1" applyBorder="1"/>
    <xf numFmtId="0" fontId="33" fillId="0" borderId="8" xfId="56" quotePrefix="1" applyFont="1" applyFill="1" applyBorder="1"/>
    <xf numFmtId="0" fontId="11" fillId="0" borderId="9" xfId="56" applyFont="1" applyBorder="1"/>
    <xf numFmtId="38" fontId="11" fillId="0" borderId="4" xfId="54" applyFont="1" applyBorder="1"/>
    <xf numFmtId="0" fontId="33" fillId="0" borderId="0" xfId="56" applyFont="1" applyFill="1"/>
    <xf numFmtId="0" fontId="33" fillId="0" borderId="8" xfId="56" applyFont="1" applyFill="1" applyBorder="1"/>
    <xf numFmtId="0" fontId="11" fillId="0" borderId="4" xfId="56" applyFont="1" applyBorder="1"/>
    <xf numFmtId="0" fontId="11" fillId="0" borderId="8" xfId="56" applyFont="1" applyFill="1" applyBorder="1"/>
    <xf numFmtId="0" fontId="11" fillId="0" borderId="0" xfId="56" applyFont="1" applyFill="1" applyBorder="1"/>
    <xf numFmtId="0" fontId="33" fillId="0" borderId="0" xfId="56" applyFont="1" applyFill="1" applyAlignment="1">
      <alignment wrapText="1"/>
    </xf>
    <xf numFmtId="0" fontId="11" fillId="0" borderId="8" xfId="56" applyFont="1" applyBorder="1"/>
    <xf numFmtId="0" fontId="35" fillId="0" borderId="0" xfId="56" applyFont="1" applyFill="1" applyBorder="1"/>
    <xf numFmtId="178" fontId="33" fillId="0" borderId="0" xfId="51" applyNumberFormat="1" applyFont="1" applyBorder="1"/>
    <xf numFmtId="178" fontId="33" fillId="0" borderId="9" xfId="51" applyNumberFormat="1" applyFont="1" applyBorder="1"/>
    <xf numFmtId="0" fontId="33" fillId="0" borderId="4" xfId="56" applyFont="1" applyBorder="1" applyAlignment="1">
      <alignment horizontal="left"/>
    </xf>
    <xf numFmtId="0" fontId="11" fillId="0" borderId="13" xfId="56" applyFont="1" applyFill="1" applyBorder="1"/>
    <xf numFmtId="0" fontId="11" fillId="0" borderId="11" xfId="56" applyFont="1" applyFill="1" applyBorder="1"/>
    <xf numFmtId="0" fontId="11" fillId="0" borderId="13" xfId="56" applyFont="1" applyBorder="1"/>
    <xf numFmtId="0" fontId="11" fillId="0" borderId="4" xfId="56" applyFont="1" applyFill="1" applyBorder="1"/>
    <xf numFmtId="0" fontId="33" fillId="0" borderId="0" xfId="56" applyFont="1" applyFill="1" applyBorder="1"/>
    <xf numFmtId="38" fontId="5" fillId="0" borderId="0" xfId="56" applyNumberFormat="1" applyFont="1" applyFill="1"/>
    <xf numFmtId="0" fontId="31" fillId="0" borderId="8" xfId="0" applyFont="1" applyBorder="1">
      <alignment vertical="center"/>
    </xf>
    <xf numFmtId="0" fontId="31" fillId="0" borderId="4" xfId="0" applyFont="1" applyBorder="1">
      <alignment vertical="center"/>
    </xf>
    <xf numFmtId="0" fontId="1" fillId="0" borderId="0" xfId="0" applyFont="1">
      <alignment vertical="center"/>
    </xf>
    <xf numFmtId="0" fontId="33" fillId="0" borderId="4" xfId="56" applyFont="1" applyBorder="1"/>
    <xf numFmtId="38" fontId="31" fillId="0" borderId="0" xfId="0" applyNumberFormat="1" applyFont="1">
      <alignment vertical="center"/>
    </xf>
    <xf numFmtId="0" fontId="31" fillId="0" borderId="8" xfId="0" applyFont="1" applyBorder="1" applyAlignment="1">
      <alignment horizontal="center" vertical="center"/>
    </xf>
    <xf numFmtId="0" fontId="37" fillId="0" borderId="0" xfId="0" applyFont="1">
      <alignment vertical="center"/>
    </xf>
    <xf numFmtId="0" fontId="31" fillId="0" borderId="0" xfId="0" applyFont="1" applyAlignment="1">
      <alignment horizontal="center" vertical="center"/>
    </xf>
    <xf numFmtId="10" fontId="29" fillId="0" borderId="8" xfId="0" applyNumberFormat="1" applyFont="1" applyBorder="1">
      <alignment vertical="center"/>
    </xf>
    <xf numFmtId="2" fontId="5" fillId="0" borderId="4" xfId="56" applyNumberFormat="1" applyFont="1" applyBorder="1"/>
    <xf numFmtId="40" fontId="5" fillId="0" borderId="4" xfId="52" applyNumberFormat="1" applyFont="1" applyBorder="1" applyAlignment="1"/>
    <xf numFmtId="10" fontId="29" fillId="0" borderId="0" xfId="0" applyNumberFormat="1" applyFont="1" applyFill="1">
      <alignment vertical="center"/>
    </xf>
    <xf numFmtId="0" fontId="8" fillId="0" borderId="0" xfId="56" applyNumberFormat="1" applyFont="1" applyFill="1" applyBorder="1" applyAlignment="1">
      <alignment horizontal="centerContinuous"/>
    </xf>
    <xf numFmtId="0" fontId="5" fillId="0" borderId="0" xfId="56" applyNumberFormat="1" applyFont="1" applyFill="1" applyBorder="1" applyAlignment="1">
      <alignment horizontal="center"/>
    </xf>
    <xf numFmtId="40" fontId="29" fillId="0" borderId="0" xfId="52" applyNumberFormat="1" applyFont="1">
      <alignment vertical="center"/>
    </xf>
    <xf numFmtId="40" fontId="29" fillId="0" borderId="0" xfId="0" applyNumberFormat="1" applyFont="1" applyBorder="1" applyAlignment="1">
      <alignment horizontal="right" vertical="center"/>
    </xf>
    <xf numFmtId="40" fontId="29" fillId="0" borderId="10" xfId="0" applyNumberFormat="1" applyFont="1" applyBorder="1" applyAlignment="1">
      <alignment horizontal="center" vertical="center"/>
    </xf>
    <xf numFmtId="40" fontId="29" fillId="0" borderId="0" xfId="0" applyNumberFormat="1" applyFont="1">
      <alignment vertical="center"/>
    </xf>
    <xf numFmtId="40" fontId="29" fillId="0" borderId="10" xfId="0" applyNumberFormat="1" applyFont="1" applyFill="1" applyBorder="1" applyAlignment="1">
      <alignment horizontal="center" vertical="center"/>
    </xf>
    <xf numFmtId="40" fontId="29" fillId="0" borderId="0" xfId="0" applyNumberFormat="1" applyFont="1" applyAlignment="1">
      <alignment horizontal="center" vertical="center"/>
    </xf>
    <xf numFmtId="40" fontId="29" fillId="0" borderId="0" xfId="0" applyNumberFormat="1" applyFont="1" applyFill="1" applyBorder="1" applyAlignment="1">
      <alignment horizontal="center" vertical="center"/>
    </xf>
    <xf numFmtId="178" fontId="5" fillId="6" borderId="0" xfId="51" applyNumberFormat="1" applyFont="1" applyFill="1" applyBorder="1"/>
    <xf numFmtId="178" fontId="5" fillId="6" borderId="8" xfId="51" applyNumberFormat="1" applyFont="1" applyFill="1" applyBorder="1"/>
    <xf numFmtId="178" fontId="5" fillId="6" borderId="13" xfId="51" applyNumberFormat="1" applyFont="1" applyFill="1" applyBorder="1"/>
    <xf numFmtId="178" fontId="5" fillId="6" borderId="9" xfId="51" applyNumberFormat="1" applyFont="1" applyFill="1" applyBorder="1"/>
    <xf numFmtId="178" fontId="5" fillId="6" borderId="0" xfId="50" applyNumberFormat="1" applyFont="1" applyFill="1" applyAlignment="1"/>
    <xf numFmtId="178" fontId="5" fillId="6" borderId="0" xfId="50" applyNumberFormat="1" applyFont="1" applyFill="1" applyBorder="1" applyAlignment="1"/>
    <xf numFmtId="0" fontId="34" fillId="6" borderId="0" xfId="56" applyFont="1" applyFill="1"/>
    <xf numFmtId="0" fontId="5" fillId="6" borderId="0" xfId="56" applyFont="1" applyFill="1"/>
    <xf numFmtId="0" fontId="33" fillId="6" borderId="0" xfId="56" applyFont="1" applyFill="1" applyBorder="1"/>
    <xf numFmtId="0" fontId="5" fillId="6" borderId="4" xfId="56" applyNumberFormat="1" applyFont="1" applyFill="1" applyBorder="1" applyAlignment="1">
      <alignment horizontal="center"/>
    </xf>
    <xf numFmtId="38" fontId="8" fillId="6" borderId="0" xfId="54" applyFont="1" applyFill="1"/>
    <xf numFmtId="38" fontId="5" fillId="6" borderId="0" xfId="54" applyFont="1" applyFill="1" applyBorder="1"/>
    <xf numFmtId="38" fontId="5" fillId="6" borderId="8" xfId="54" applyFont="1" applyFill="1" applyBorder="1"/>
    <xf numFmtId="38" fontId="8" fillId="6" borderId="9" xfId="54" applyFont="1" applyFill="1" applyBorder="1"/>
    <xf numFmtId="38" fontId="5" fillId="6" borderId="0" xfId="54" applyFont="1" applyFill="1"/>
    <xf numFmtId="38" fontId="5" fillId="6" borderId="4" xfId="54" applyFont="1" applyFill="1" applyBorder="1"/>
    <xf numFmtId="38" fontId="5" fillId="6" borderId="0" xfId="52" applyFont="1" applyFill="1" applyAlignment="1"/>
    <xf numFmtId="40" fontId="5" fillId="6" borderId="0" xfId="54" applyNumberFormat="1" applyFont="1" applyFill="1"/>
    <xf numFmtId="10" fontId="29" fillId="6" borderId="0" xfId="0" applyNumberFormat="1" applyFont="1" applyFill="1">
      <alignment vertical="center"/>
    </xf>
    <xf numFmtId="40" fontId="5" fillId="6" borderId="0" xfId="53" applyNumberFormat="1" applyFont="1" applyFill="1">
      <alignment vertical="center"/>
    </xf>
    <xf numFmtId="38" fontId="8" fillId="6" borderId="8" xfId="54" applyFont="1" applyFill="1" applyBorder="1"/>
    <xf numFmtId="38" fontId="29" fillId="6" borderId="10" xfId="0" applyNumberFormat="1" applyFont="1" applyFill="1" applyBorder="1" applyAlignment="1">
      <alignment horizontal="center" vertical="center"/>
    </xf>
    <xf numFmtId="0" fontId="29" fillId="6" borderId="8" xfId="0" applyFont="1" applyFill="1" applyBorder="1" applyAlignment="1">
      <alignment horizontal="center" vertical="center"/>
    </xf>
    <xf numFmtId="0" fontId="29" fillId="6" borderId="0" xfId="0" applyFont="1" applyFill="1">
      <alignment vertical="center"/>
    </xf>
    <xf numFmtId="40" fontId="29" fillId="6" borderId="0" xfId="53" applyNumberFormat="1" applyFont="1" applyFill="1" applyBorder="1" applyAlignment="1">
      <alignment horizontal="right" vertical="center"/>
    </xf>
    <xf numFmtId="0" fontId="31" fillId="6" borderId="0" xfId="0" applyFont="1" applyFill="1">
      <alignment vertical="center"/>
    </xf>
    <xf numFmtId="0" fontId="29" fillId="0" borderId="0" xfId="0" applyFont="1" applyFill="1">
      <alignment vertical="center"/>
    </xf>
    <xf numFmtId="0" fontId="31" fillId="0" borderId="0" xfId="0" applyFont="1" applyFill="1">
      <alignment vertical="center"/>
    </xf>
    <xf numFmtId="204" fontId="29" fillId="0" borderId="10" xfId="0" applyNumberFormat="1" applyFont="1" applyFill="1" applyBorder="1">
      <alignment vertical="center"/>
    </xf>
    <xf numFmtId="204" fontId="5" fillId="6" borderId="0" xfId="54" applyNumberFormat="1" applyFont="1" applyFill="1" applyAlignment="1">
      <alignment horizontal="center"/>
    </xf>
    <xf numFmtId="0" fontId="11" fillId="0" borderId="0" xfId="56" applyFont="1" applyAlignment="1">
      <alignment horizontal="center"/>
    </xf>
    <xf numFmtId="0" fontId="8" fillId="0" borderId="0" xfId="56" applyFont="1" applyAlignment="1">
      <alignment horizontal="center"/>
    </xf>
    <xf numFmtId="0" fontId="31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204" fontId="29" fillId="0" borderId="1" xfId="0" applyNumberFormat="1" applyFont="1" applyFill="1" applyBorder="1" applyAlignment="1">
      <alignment horizontal="center" vertical="center"/>
    </xf>
    <xf numFmtId="204" fontId="29" fillId="0" borderId="12" xfId="0" applyNumberFormat="1" applyFont="1" applyFill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</cellXfs>
  <cellStyles count="60">
    <cellStyle name="AcNote" xfId="1" xr:uid="{00000000-0005-0000-0000-000000000000}"/>
    <cellStyle name="Currency (B)" xfId="2" xr:uid="{00000000-0005-0000-0000-000002000000}"/>
    <cellStyle name="DisplayPercent" xfId="3" xr:uid="{00000000-0005-0000-0000-000003000000}"/>
    <cellStyle name="DOH" xfId="4" xr:uid="{00000000-0005-0000-0000-000004000000}"/>
    <cellStyle name="Dollar" xfId="5" xr:uid="{00000000-0005-0000-0000-000005000000}"/>
    <cellStyle name="Dollar0Decimals" xfId="6" xr:uid="{00000000-0005-0000-0000-000006000000}"/>
    <cellStyle name="Dollar2Decimals" xfId="7" xr:uid="{00000000-0005-0000-0000-000007000000}"/>
    <cellStyle name="DriversNumber" xfId="8" xr:uid="{00000000-0005-0000-0000-000008000000}"/>
    <cellStyle name="DriversPercent" xfId="9" xr:uid="{00000000-0005-0000-0000-000009000000}"/>
    <cellStyle name="Header" xfId="10" xr:uid="{00000000-0005-0000-0000-00000A000000}"/>
    <cellStyle name="Inputs" xfId="11" xr:uid="{00000000-0005-0000-0000-00000B000000}"/>
    <cellStyle name="ISBSPercentSS" xfId="12" xr:uid="{00000000-0005-0000-0000-00000C000000}"/>
    <cellStyle name="ISBSPercentSSBoldwBorders" xfId="13" xr:uid="{00000000-0005-0000-0000-00000D000000}"/>
    <cellStyle name="Multiple" xfId="14" xr:uid="{00000000-0005-0000-0000-00000E000000}"/>
    <cellStyle name="Name" xfId="15" xr:uid="{00000000-0005-0000-0000-00000F000000}"/>
    <cellStyle name="NewAcct" xfId="16" xr:uid="{00000000-0005-0000-0000-000010000000}"/>
    <cellStyle name="Normal (B)" xfId="17" xr:uid="{00000000-0005-0000-0000-000012000000}"/>
    <cellStyle name="Normal (G)" xfId="18" xr:uid="{00000000-0005-0000-0000-000013000000}"/>
    <cellStyle name="Percent (M)" xfId="19" xr:uid="{00000000-0005-0000-0000-000015000000}"/>
    <cellStyle name="Percent0Decimals" xfId="20" xr:uid="{00000000-0005-0000-0000-000016000000}"/>
    <cellStyle name="Percent2Decimals" xfId="21" xr:uid="{00000000-0005-0000-0000-000017000000}"/>
    <cellStyle name="PercentBoldwBorders" xfId="22" xr:uid="{00000000-0005-0000-0000-000018000000}"/>
    <cellStyle name="PercentSS" xfId="23" xr:uid="{00000000-0005-0000-0000-000019000000}"/>
    <cellStyle name="PercentSSBoldwBorders" xfId="24" xr:uid="{00000000-0005-0000-0000-00001A000000}"/>
    <cellStyle name="PercentSSBoldwOutBorders" xfId="25" xr:uid="{00000000-0005-0000-0000-00001B000000}"/>
    <cellStyle name="Plain0Decimals" xfId="26" xr:uid="{00000000-0005-0000-0000-00001C000000}"/>
    <cellStyle name="Plain1Decimals" xfId="27" xr:uid="{00000000-0005-0000-0000-00001D000000}"/>
    <cellStyle name="Plain2Decimals" xfId="28" xr:uid="{00000000-0005-0000-0000-00001E000000}"/>
    <cellStyle name="Plain3Decimals" xfId="29" xr:uid="{00000000-0005-0000-0000-00001F000000}"/>
    <cellStyle name="Plain4Decimals" xfId="30" xr:uid="{00000000-0005-0000-0000-000020000000}"/>
    <cellStyle name="PlainDollar" xfId="31" xr:uid="{00000000-0005-0000-0000-000021000000}"/>
    <cellStyle name="PlainDollarBoldwBorders" xfId="32" xr:uid="{00000000-0005-0000-0000-000022000000}"/>
    <cellStyle name="PlainDollarBoldwOutBorders" xfId="33" xr:uid="{00000000-0005-0000-0000-000023000000}"/>
    <cellStyle name="PlainDollardBLUndLine" xfId="34" xr:uid="{00000000-0005-0000-0000-000024000000}"/>
    <cellStyle name="PlainDollarSS" xfId="35" xr:uid="{00000000-0005-0000-0000-000025000000}"/>
    <cellStyle name="PlainDollarSSwBorders" xfId="36" xr:uid="{00000000-0005-0000-0000-000026000000}"/>
    <cellStyle name="PlainDollarUndLine" xfId="37" xr:uid="{00000000-0005-0000-0000-000027000000}"/>
    <cellStyle name="PlainPercent" xfId="38" xr:uid="{00000000-0005-0000-0000-000028000000}"/>
    <cellStyle name="ScratchPad" xfId="39" xr:uid="{00000000-0005-0000-0000-000029000000}"/>
    <cellStyle name="SSComma0" xfId="40" xr:uid="{00000000-0005-0000-0000-00002A000000}"/>
    <cellStyle name="SSComma2" xfId="41" xr:uid="{00000000-0005-0000-0000-00002B000000}"/>
    <cellStyle name="SSDecs3" xfId="42" xr:uid="{00000000-0005-0000-0000-00002C000000}"/>
    <cellStyle name="SSDflt" xfId="43" xr:uid="{00000000-0005-0000-0000-00002D000000}"/>
    <cellStyle name="SSDfltPct" xfId="44" xr:uid="{00000000-0005-0000-0000-00002E000000}"/>
    <cellStyle name="SSDfltPct0" xfId="45" xr:uid="{00000000-0005-0000-0000-00002F000000}"/>
    <cellStyle name="SSFixed2" xfId="46" xr:uid="{00000000-0005-0000-0000-000030000000}"/>
    <cellStyle name="Text" xfId="47" xr:uid="{00000000-0005-0000-0000-000031000000}"/>
    <cellStyle name="UnderLine" xfId="48" xr:uid="{00000000-0005-0000-0000-000032000000}"/>
    <cellStyle name="years" xfId="49" xr:uid="{00000000-0005-0000-0000-000033000000}"/>
    <cellStyle name="パーセント" xfId="50" builtinId="5"/>
    <cellStyle name="パーセント 2" xfId="51" xr:uid="{00000000-0005-0000-0000-000034000000}"/>
    <cellStyle name="パーセント 3" xfId="59" xr:uid="{00000000-0005-0000-0000-000035000000}"/>
    <cellStyle name="桁区切り" xfId="52" builtinId="6"/>
    <cellStyle name="桁区切り 2" xfId="53" xr:uid="{00000000-0005-0000-0000-000036000000}"/>
    <cellStyle name="桁区切り 3" xfId="54" xr:uid="{00000000-0005-0000-0000-000037000000}"/>
    <cellStyle name="標準" xfId="0" builtinId="0"/>
    <cellStyle name="標準 2" xfId="55" xr:uid="{00000000-0005-0000-0000-000038000000}"/>
    <cellStyle name="標準 3" xfId="56" xr:uid="{00000000-0005-0000-0000-000039000000}"/>
    <cellStyle name="標準 7" xfId="58" xr:uid="{00000000-0005-0000-0000-00003A000000}"/>
    <cellStyle name="標準_Xl0000041" xfId="57" xr:uid="{00000000-0005-0000-0000-00003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94685039370078"/>
          <c:y val="8.4669756350520473E-2"/>
          <c:w val="0.78799518810148728"/>
          <c:h val="0.742282577245304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'Drivers&amp;Forecast'!$B$8</c:f>
              <c:strCache>
                <c:ptCount val="1"/>
                <c:pt idx="0">
                  <c:v>原価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('Drivers&amp;Forecast'!$Q$5:$U$5,'Drivers&amp;Forecast'!$X$5:$AB$5)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('Drivers&amp;Forecast'!$Q$8:$U$8,'Drivers&amp;Forecast'!$X$8:$AB$8)</c:f>
              <c:numCache>
                <c:formatCode>0.0%</c:formatCode>
                <c:ptCount val="5"/>
                <c:pt idx="0">
                  <c:v>0.55228605345516024</c:v>
                </c:pt>
                <c:pt idx="1">
                  <c:v>0.54030914022417564</c:v>
                </c:pt>
                <c:pt idx="2">
                  <c:v>0.53758957252285644</c:v>
                </c:pt>
                <c:pt idx="3">
                  <c:v>0.55423580786026205</c:v>
                </c:pt>
                <c:pt idx="4">
                  <c:v>0.56161222078742756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3C-4652-8E21-EC39A7A9B8D3}"/>
            </c:ext>
          </c:extLst>
        </c:ser>
        <c:ser>
          <c:idx val="1"/>
          <c:order val="1"/>
          <c:tx>
            <c:strRef>
              <c:f>'Drivers&amp;Forecast'!$B$9</c:f>
              <c:strCache>
                <c:ptCount val="1"/>
                <c:pt idx="0">
                  <c:v>販管費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('Drivers&amp;Forecast'!$Q$5:$U$5,'Drivers&amp;Forecast'!$X$5:$AB$5)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('Drivers&amp;Forecast'!$Q$9:$U$9,'Drivers&amp;Forecast'!$X$9:$AB$9)</c:f>
              <c:numCache>
                <c:formatCode>0.0%</c:formatCode>
                <c:ptCount val="5"/>
                <c:pt idx="0">
                  <c:v>0.31533508399582721</c:v>
                </c:pt>
                <c:pt idx="1">
                  <c:v>0.32325740988856572</c:v>
                </c:pt>
                <c:pt idx="2">
                  <c:v>0.32335680751173707</c:v>
                </c:pt>
                <c:pt idx="3">
                  <c:v>0.30751091703056771</c:v>
                </c:pt>
                <c:pt idx="4">
                  <c:v>0.31626232931285547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3C-4652-8E21-EC39A7A9B8D3}"/>
            </c:ext>
          </c:extLst>
        </c:ser>
        <c:ser>
          <c:idx val="2"/>
          <c:order val="2"/>
          <c:tx>
            <c:strRef>
              <c:f>'Drivers&amp;Forecast'!$B$13</c:f>
              <c:strCache>
                <c:ptCount val="1"/>
                <c:pt idx="0">
                  <c:v>税金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('Drivers&amp;Forecast'!$Q$5:$U$5,'Drivers&amp;Forecast'!$X$5:$AB$5)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('Drivers&amp;Forecast'!$Q$13:$U$13,'Drivers&amp;Forecast'!$X$13:$AB$13)</c:f>
              <c:numCache>
                <c:formatCode>0.0%</c:formatCode>
                <c:ptCount val="5"/>
                <c:pt idx="0">
                  <c:v>3.0069126510145348E-2</c:v>
                </c:pt>
                <c:pt idx="1">
                  <c:v>3.0239233126022592E-2</c:v>
                </c:pt>
                <c:pt idx="2">
                  <c:v>2.595787887305771E-2</c:v>
                </c:pt>
                <c:pt idx="3">
                  <c:v>1.8279086312018834E-2</c:v>
                </c:pt>
                <c:pt idx="4">
                  <c:v>6.754313899656024E-2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3C-4652-8E21-EC39A7A9B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442931584"/>
        <c:axId val="-1442928320"/>
      </c:barChart>
      <c:lineChart>
        <c:grouping val="standard"/>
        <c:varyColors val="0"/>
        <c:ser>
          <c:idx val="3"/>
          <c:order val="3"/>
          <c:tx>
            <c:strRef>
              <c:f>'Drivers&amp;Forecast'!$B$14</c:f>
              <c:strCache>
                <c:ptCount val="1"/>
                <c:pt idx="0">
                  <c:v>NOPAT</c:v>
                </c:pt>
              </c:strCache>
            </c:strRef>
          </c:tx>
          <c:cat>
            <c:numRef>
              <c:f>('Drivers&amp;Forecast'!$Q$5:$U$5,'Drivers&amp;Forecast'!$X$5:$AB$5)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('Drivers&amp;Forecast'!$Q$14:$U$14,'Drivers&amp;Forecast'!$X$14:$AB$14)</c:f>
              <c:numCache>
                <c:formatCode>0.0%</c:formatCode>
                <c:ptCount val="5"/>
                <c:pt idx="0">
                  <c:v>0.1023097360388672</c:v>
                </c:pt>
                <c:pt idx="1">
                  <c:v>0.106194216761236</c:v>
                </c:pt>
                <c:pt idx="2">
                  <c:v>0.11309574109234875</c:v>
                </c:pt>
                <c:pt idx="3">
                  <c:v>0.11997418879715148</c:v>
                </c:pt>
                <c:pt idx="4">
                  <c:v>5.4582310903156767E-2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3C-4652-8E21-EC39A7A9B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42941376"/>
        <c:axId val="-1442931040"/>
      </c:lineChart>
      <c:catAx>
        <c:axId val="-14429315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-1442928320"/>
        <c:crosses val="autoZero"/>
        <c:auto val="1"/>
        <c:lblAlgn val="ctr"/>
        <c:lblOffset val="100"/>
        <c:noMultiLvlLbl val="0"/>
      </c:catAx>
      <c:valAx>
        <c:axId val="-1442928320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-1442931584"/>
        <c:crosses val="autoZero"/>
        <c:crossBetween val="between"/>
      </c:valAx>
      <c:valAx>
        <c:axId val="-1442931040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-1442941376"/>
        <c:crosses val="max"/>
        <c:crossBetween val="between"/>
      </c:valAx>
      <c:catAx>
        <c:axId val="-1442941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42931040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1.2936033818441797E-2"/>
          <c:y val="0.90090276854350793"/>
          <c:w val="0.97529737484825363"/>
          <c:h val="8.5240446565833863E-2"/>
        </c:manualLayout>
      </c:layout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607746733718511E-2"/>
          <c:y val="3.2013440687458115E-2"/>
          <c:w val="0.91748429777082119"/>
          <c:h val="0.7084320886047645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'Drivers&amp;Forecast'!$B$37</c:f>
              <c:strCache>
                <c:ptCount val="1"/>
                <c:pt idx="0">
                  <c:v>有利子負債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'Drivers&amp;Forecast'!$Q$5:$U$5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'Drivers&amp;Forecast'!$D$37:$H$37</c:f>
              <c:numCache>
                <c:formatCode>#,##0_);[Red]\(#,##0\)</c:formatCode>
                <c:ptCount val="5"/>
                <c:pt idx="0">
                  <c:v>1206</c:v>
                </c:pt>
                <c:pt idx="1">
                  <c:v>1186</c:v>
                </c:pt>
                <c:pt idx="2">
                  <c:v>2037</c:v>
                </c:pt>
                <c:pt idx="3">
                  <c:v>3477</c:v>
                </c:pt>
                <c:pt idx="4">
                  <c:v>3474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56-4501-AEA2-FCF4C6AE2C09}"/>
            </c:ext>
          </c:extLst>
        </c:ser>
        <c:ser>
          <c:idx val="2"/>
          <c:order val="2"/>
          <c:tx>
            <c:strRef>
              <c:f>'Drivers&amp;Forecast'!$A$44</c:f>
              <c:strCache>
                <c:ptCount val="1"/>
                <c:pt idx="0">
                  <c:v>純有利子負債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'Drivers&amp;Forecast'!$D$44:$H$44</c:f>
              <c:numCache>
                <c:formatCode>#,##0_);[Red]\(#,##0\)</c:formatCode>
                <c:ptCount val="5"/>
                <c:pt idx="0">
                  <c:v>-3936</c:v>
                </c:pt>
                <c:pt idx="1">
                  <c:v>-4738</c:v>
                </c:pt>
                <c:pt idx="2">
                  <c:v>-3420</c:v>
                </c:pt>
                <c:pt idx="3">
                  <c:v>-2702</c:v>
                </c:pt>
                <c:pt idx="4">
                  <c:v>-1771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56-4501-AEA2-FCF4C6AE2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61365632"/>
        <c:axId val="-1361353664"/>
      </c:barChart>
      <c:lineChart>
        <c:grouping val="stacked"/>
        <c:varyColors val="0"/>
        <c:ser>
          <c:idx val="0"/>
          <c:order val="0"/>
          <c:tx>
            <c:strRef>
              <c:f>'Historical Data Input'!$B$78</c:f>
              <c:strCache>
                <c:ptCount val="1"/>
                <c:pt idx="0">
                  <c:v>負債総資産比率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Lit>
              <c:formatCode>General</c:formatCode>
              <c:ptCount val="5"/>
              <c:pt idx="0">
                <c:v>2013</c:v>
              </c:pt>
              <c:pt idx="1">
                <c:v>2014</c:v>
              </c:pt>
              <c:pt idx="2">
                <c:v>2015</c:v>
              </c:pt>
              <c:pt idx="3">
                <c:v>2016</c:v>
              </c:pt>
              <c:pt idx="4">
                <c:v>2017</c:v>
              </c:pt>
            </c:numLit>
          </c:cat>
          <c:val>
            <c:numRef>
              <c:f>'Historical Data Input'!$D$78:$H$78</c:f>
              <c:numCache>
                <c:formatCode>0.0%</c:formatCode>
                <c:ptCount val="5"/>
                <c:pt idx="0">
                  <c:v>0.41787673443046142</c:v>
                </c:pt>
                <c:pt idx="1">
                  <c:v>0.41171296296296295</c:v>
                </c:pt>
                <c:pt idx="2">
                  <c:v>0.42663361242340614</c:v>
                </c:pt>
                <c:pt idx="3">
                  <c:v>0.46657207962509134</c:v>
                </c:pt>
                <c:pt idx="4">
                  <c:v>0.56460773872914449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656-4501-AEA2-FCF4C6AE2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61354208"/>
        <c:axId val="-1361360736"/>
      </c:lineChart>
      <c:catAx>
        <c:axId val="-13613656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-1361353664"/>
        <c:crosses val="autoZero"/>
        <c:auto val="1"/>
        <c:lblAlgn val="ctr"/>
        <c:lblOffset val="100"/>
        <c:noMultiLvlLbl val="0"/>
      </c:catAx>
      <c:valAx>
        <c:axId val="-1361353664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-1361365632"/>
        <c:crosses val="autoZero"/>
        <c:crossBetween val="between"/>
      </c:valAx>
      <c:valAx>
        <c:axId val="-1361360736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-1361354208"/>
        <c:crosses val="max"/>
        <c:crossBetween val="between"/>
      </c:valAx>
      <c:catAx>
        <c:axId val="-1361354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361360736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"/>
          <c:y val="0.86705227990296785"/>
          <c:w val="1"/>
          <c:h val="0.13294756760056156"/>
        </c:manualLayout>
      </c:layout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'DCF Figure'!$B$3:$B$9</c:f>
              <c:strCache>
                <c:ptCount val="7"/>
                <c:pt idx="0">
                  <c:v>事業価値</c:v>
                </c:pt>
                <c:pt idx="1">
                  <c:v>金融資産（簿価）</c:v>
                </c:pt>
                <c:pt idx="2">
                  <c:v>その他の非事業資産（時価）</c:v>
                </c:pt>
                <c:pt idx="3">
                  <c:v>推定企業価値</c:v>
                </c:pt>
                <c:pt idx="4">
                  <c:v>有利子負債</c:v>
                </c:pt>
                <c:pt idx="5">
                  <c:v>少数株主持ち分</c:v>
                </c:pt>
                <c:pt idx="6">
                  <c:v>推定株主価値</c:v>
                </c:pt>
              </c:strCache>
            </c:strRef>
          </c:cat>
          <c:val>
            <c:numRef>
              <c:f>'DCF Figure'!$C$3:$C$9</c:f>
              <c:numCache>
                <c:formatCode>#,##0_);[Red]\(#,##0\)</c:formatCode>
                <c:ptCount val="7"/>
                <c:pt idx="0" formatCode="General">
                  <c:v>0</c:v>
                </c:pt>
                <c:pt idx="1">
                  <c:v>112414.51510756066</c:v>
                </c:pt>
                <c:pt idx="2">
                  <c:v>117659.51510756066</c:v>
                </c:pt>
                <c:pt idx="4">
                  <c:v>114185.51510756066</c:v>
                </c:pt>
                <c:pt idx="5">
                  <c:v>114185.51510756066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E0-43AA-9048-66FEBF817B1D}"/>
            </c:ext>
          </c:extLst>
        </c:ser>
        <c:ser>
          <c:idx val="1"/>
          <c:order val="1"/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6E0-43AA-9048-66FEBF817B1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C6E0-43AA-9048-66FEBF817B1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C6E0-43AA-9048-66FEBF817B1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C6E0-43AA-9048-66FEBF817B1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C6E0-43AA-9048-66FEBF817B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'DCF Figure'!$B$3:$B$9</c:f>
              <c:strCache>
                <c:ptCount val="7"/>
                <c:pt idx="0">
                  <c:v>事業価値</c:v>
                </c:pt>
                <c:pt idx="1">
                  <c:v>金融資産（簿価）</c:v>
                </c:pt>
                <c:pt idx="2">
                  <c:v>その他の非事業資産（時価）</c:v>
                </c:pt>
                <c:pt idx="3">
                  <c:v>推定企業価値</c:v>
                </c:pt>
                <c:pt idx="4">
                  <c:v>有利子負債</c:v>
                </c:pt>
                <c:pt idx="5">
                  <c:v>少数株主持ち分</c:v>
                </c:pt>
                <c:pt idx="6">
                  <c:v>推定株主価値</c:v>
                </c:pt>
              </c:strCache>
            </c:strRef>
          </c:cat>
          <c:val>
            <c:numRef>
              <c:f>'DCF Figure'!$D$3:$D$9</c:f>
              <c:numCache>
                <c:formatCode>#,##0_);[Red]\(#,##0\)</c:formatCode>
                <c:ptCount val="7"/>
                <c:pt idx="0">
                  <c:v>112414.51510756066</c:v>
                </c:pt>
                <c:pt idx="1">
                  <c:v>5245</c:v>
                </c:pt>
                <c:pt idx="2">
                  <c:v>0</c:v>
                </c:pt>
                <c:pt idx="3">
                  <c:v>117659.51510756066</c:v>
                </c:pt>
                <c:pt idx="4">
                  <c:v>3474</c:v>
                </c:pt>
                <c:pt idx="5">
                  <c:v>0</c:v>
                </c:pt>
                <c:pt idx="6">
                  <c:v>114185.51510756066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6E0-43AA-9048-66FEBF817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-1361362912"/>
        <c:axId val="-1361365088"/>
      </c:barChart>
      <c:catAx>
        <c:axId val="-1361362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361365088"/>
        <c:crosses val="autoZero"/>
        <c:auto val="1"/>
        <c:lblAlgn val="ctr"/>
        <c:lblOffset val="100"/>
        <c:noMultiLvlLbl val="0"/>
      </c:catAx>
      <c:valAx>
        <c:axId val="-136136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361362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94685039370078"/>
          <c:y val="8.4669756350520473E-2"/>
          <c:w val="0.78799518810148728"/>
          <c:h val="0.74228257724530466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'Drivers&amp;Forecast'!$B$23</c:f>
              <c:strCache>
                <c:ptCount val="1"/>
                <c:pt idx="0">
                  <c:v>現金及び金融投資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('Drivers&amp;Forecast'!$Q$23:$U$23,'Drivers&amp;Forecast'!$X$23:$AB$23)</c:f>
              <c:numCache>
                <c:formatCode>0.0%</c:formatCode>
                <c:ptCount val="5"/>
                <c:pt idx="0">
                  <c:v>0.18497068239864745</c:v>
                </c:pt>
                <c:pt idx="1">
                  <c:v>0.19358844482206464</c:v>
                </c:pt>
                <c:pt idx="2">
                  <c:v>0.16855077835433654</c:v>
                </c:pt>
                <c:pt idx="3">
                  <c:v>0.17988355167394468</c:v>
                </c:pt>
                <c:pt idx="4">
                  <c:v>0.14410528340247822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49-4E60-A8F0-1FB0308B9D86}"/>
            </c:ext>
          </c:extLst>
        </c:ser>
        <c:ser>
          <c:idx val="0"/>
          <c:order val="1"/>
          <c:tx>
            <c:strRef>
              <c:f>'Drivers&amp;Forecast'!$B$28</c:f>
              <c:strCache>
                <c:ptCount val="1"/>
                <c:pt idx="0">
                  <c:v>正味運転資本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('Drivers&amp;Forecast'!$Q$5:$U$5,'Drivers&amp;Forecast'!$X$5:$AB$5)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('Drivers&amp;Forecast'!$Q$28:$U$28,'Drivers&amp;Forecast'!$X$28:$AB$28)</c:f>
              <c:numCache>
                <c:formatCode>0.0%</c:formatCode>
                <c:ptCount val="5"/>
                <c:pt idx="0">
                  <c:v>0.12712687506744844</c:v>
                </c:pt>
                <c:pt idx="1">
                  <c:v>0.12499591516617106</c:v>
                </c:pt>
                <c:pt idx="2">
                  <c:v>0.13139362490733875</c:v>
                </c:pt>
                <c:pt idx="3">
                  <c:v>0.12850072780203781</c:v>
                </c:pt>
                <c:pt idx="4">
                  <c:v>0.10591532269143056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49-4E60-A8F0-1FB0308B9D86}"/>
            </c:ext>
          </c:extLst>
        </c:ser>
        <c:ser>
          <c:idx val="1"/>
          <c:order val="2"/>
          <c:tx>
            <c:strRef>
              <c:f>'Drivers&amp;Forecast'!$B$32</c:f>
              <c:strCache>
                <c:ptCount val="1"/>
                <c:pt idx="0">
                  <c:v>固定資本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('Drivers&amp;Forecast'!$Q$5:$U$5,'Drivers&amp;Forecast'!$X$5:$AB$5)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('Drivers&amp;Forecast'!$Q$32:$U$32,'Drivers&amp;Forecast'!$X$32:$AB$32)</c:f>
              <c:numCache>
                <c:formatCode>0.0%</c:formatCode>
                <c:ptCount val="5"/>
                <c:pt idx="0">
                  <c:v>0.12065182200798591</c:v>
                </c:pt>
                <c:pt idx="1">
                  <c:v>0.13542041109767655</c:v>
                </c:pt>
                <c:pt idx="2">
                  <c:v>0.14158636026686433</c:v>
                </c:pt>
                <c:pt idx="3">
                  <c:v>0.1540320232896652</c:v>
                </c:pt>
                <c:pt idx="4">
                  <c:v>0.11500947880319806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49-4E60-A8F0-1FB0308B9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442934848"/>
        <c:axId val="-1442933760"/>
      </c:barChart>
      <c:lineChart>
        <c:grouping val="standard"/>
        <c:varyColors val="0"/>
        <c:ser>
          <c:idx val="2"/>
          <c:order val="3"/>
          <c:tx>
            <c:strRef>
              <c:f>'Drivers&amp;Forecast'!$B$86</c:f>
              <c:strCache>
                <c:ptCount val="1"/>
                <c:pt idx="0">
                  <c:v>投下資本回転率 =売上高÷期首投下資本</c:v>
                </c:pt>
              </c:strCache>
            </c:strRef>
          </c:tx>
          <c:val>
            <c:numRef>
              <c:f>('Drivers&amp;Forecast'!$D$86:$H$86,'Drivers&amp;Forecast'!$J$86:$N$86)</c:f>
              <c:numCache>
                <c:formatCode>#,##0.0;[Red]\-#,##0.0</c:formatCode>
                <c:ptCount val="5"/>
                <c:pt idx="1">
                  <c:v>2.5437240232751455</c:v>
                </c:pt>
                <c:pt idx="2">
                  <c:v>2.3303822068667674</c:v>
                </c:pt>
                <c:pt idx="3">
                  <c:v>2.4029380902413431</c:v>
                </c:pt>
                <c:pt idx="4">
                  <c:v>2.2914253336691011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E49-4E60-A8F0-1FB0308B9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42939744"/>
        <c:axId val="-1442930496"/>
      </c:lineChart>
      <c:catAx>
        <c:axId val="-1442934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-1442933760"/>
        <c:crosses val="autoZero"/>
        <c:auto val="1"/>
        <c:lblAlgn val="ctr"/>
        <c:lblOffset val="100"/>
        <c:noMultiLvlLbl val="0"/>
      </c:catAx>
      <c:valAx>
        <c:axId val="-1442933760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-1442934848"/>
        <c:crosses val="autoZero"/>
        <c:crossBetween val="between"/>
      </c:valAx>
      <c:valAx>
        <c:axId val="-1442930496"/>
        <c:scaling>
          <c:orientation val="minMax"/>
        </c:scaling>
        <c:delete val="0"/>
        <c:axPos val="r"/>
        <c:numFmt formatCode="#,##0.0;[Red]\-#,##0.0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-1442939744"/>
        <c:crosses val="max"/>
        <c:crossBetween val="between"/>
      </c:valAx>
      <c:catAx>
        <c:axId val="-1442939744"/>
        <c:scaling>
          <c:orientation val="minMax"/>
        </c:scaling>
        <c:delete val="1"/>
        <c:axPos val="b"/>
        <c:majorTickMark val="out"/>
        <c:minorTickMark val="none"/>
        <c:tickLblPos val="nextTo"/>
        <c:crossAx val="-1442930496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5.6234195588439938E-3"/>
          <c:y val="0.90090276854350793"/>
          <c:w val="0.98185377650462802"/>
          <c:h val="9.9097231456492046E-2"/>
        </c:manualLayout>
      </c:layout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140346265518024E-2"/>
          <c:y val="8.4669756350520473E-2"/>
          <c:w val="0.91748429777082119"/>
          <c:h val="0.742282577245304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'Drivers&amp;Forecast'!$B$73</c:f>
              <c:strCache>
                <c:ptCount val="1"/>
                <c:pt idx="0">
                  <c:v>NOPAT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('Drivers&amp;Forecast'!$R$5:$U$5,'Drivers&amp;Forecast'!$X$5:$AB$5)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('Drivers&amp;Forecast'!$E$73:$H$73,'Drivers&amp;Forecast'!$J$73:$N$73)</c:f>
              <c:numCache>
                <c:formatCode>#,##0_);[Red]\(#,##0\)</c:formatCode>
                <c:ptCount val="4"/>
                <c:pt idx="0">
                  <c:v>3249.6492271105826</c:v>
                </c:pt>
                <c:pt idx="1">
                  <c:v>3661.5877136058834</c:v>
                </c:pt>
                <c:pt idx="2">
                  <c:v>4121.1133851821533</c:v>
                </c:pt>
                <c:pt idx="3">
                  <c:v>1986.6323699421969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C9-461E-8892-C59782699DF7}"/>
            </c:ext>
          </c:extLst>
        </c:ser>
        <c:ser>
          <c:idx val="1"/>
          <c:order val="1"/>
          <c:tx>
            <c:strRef>
              <c:f>'Drivers&amp;Forecast'!$B$77</c:f>
              <c:strCache>
                <c:ptCount val="1"/>
                <c:pt idx="0">
                  <c:v>EVA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('Drivers&amp;Forecast'!$R$5:$U$5,'Drivers&amp;Forecast'!$X$5:$AB$5)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('Drivers&amp;Forecast'!$E$77:$H$77,'Drivers&amp;Forecast'!$J$77:$N$77)</c:f>
              <c:numCache>
                <c:formatCode>#,##0_);[Red]\(#,##0\)</c:formatCode>
                <c:ptCount val="4"/>
                <c:pt idx="0">
                  <c:v>2404.1638513688067</c:v>
                </c:pt>
                <c:pt idx="1">
                  <c:v>2685.168068952476</c:v>
                </c:pt>
                <c:pt idx="2">
                  <c:v>3116.4406132595691</c:v>
                </c:pt>
                <c:pt idx="3">
                  <c:v>870.28243575413649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C9-461E-8892-C59782699DF7}"/>
            </c:ext>
          </c:extLst>
        </c:ser>
        <c:ser>
          <c:idx val="2"/>
          <c:order val="2"/>
          <c:tx>
            <c:strRef>
              <c:f>'Drivers&amp;Forecast'!$B$63</c:f>
              <c:strCache>
                <c:ptCount val="1"/>
                <c:pt idx="0">
                  <c:v>フリー・キャッシュフロー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('Drivers&amp;Forecast'!$R$5:$U$5,'Drivers&amp;Forecast'!$X$5:$AB$5)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('Drivers&amp;Forecast'!$E$63:$H$63,'Drivers&amp;Forecast'!$J$63:$N$63)</c:f>
              <c:numCache>
                <c:formatCode>#,##0_);[Red]\(#,##0\)</c:formatCode>
                <c:ptCount val="4"/>
                <c:pt idx="0">
                  <c:v>1386.6492271105826</c:v>
                </c:pt>
                <c:pt idx="1">
                  <c:v>3259.5877136058834</c:v>
                </c:pt>
                <c:pt idx="2">
                  <c:v>2532.1133851821533</c:v>
                </c:pt>
                <c:pt idx="3">
                  <c:v>4584.6323699421973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C9-461E-8892-C59782699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42934304"/>
        <c:axId val="-1442927776"/>
      </c:barChart>
      <c:catAx>
        <c:axId val="-14429343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-1442927776"/>
        <c:crosses val="autoZero"/>
        <c:auto val="1"/>
        <c:lblAlgn val="ctr"/>
        <c:lblOffset val="100"/>
        <c:noMultiLvlLbl val="0"/>
      </c:catAx>
      <c:valAx>
        <c:axId val="-1442927776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-1442934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1.2936033818441797E-2"/>
          <c:y val="0.92723092637503912"/>
          <c:w val="0.96931216321908575"/>
          <c:h val="7.2769073624960864E-2"/>
        </c:manualLayout>
      </c:layout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75240594925634"/>
          <c:y val="5.1400554097404488E-2"/>
          <c:w val="0.60365726159230093"/>
          <c:h val="0.89719889180519097"/>
        </c:manualLayout>
      </c:layout>
      <c:scatterChart>
        <c:scatterStyle val="smoothMarker"/>
        <c:varyColors val="0"/>
        <c:ser>
          <c:idx val="10"/>
          <c:order val="0"/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dPt>
            <c:idx val="3"/>
            <c:marker>
              <c:symbol val="diamond"/>
              <c:size val="7"/>
              <c:spPr>
                <a:solidFill>
                  <a:schemeClr val="tx2"/>
                </a:solidFill>
                <a:ln>
                  <a:solidFill>
                    <a:schemeClr val="tx2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A5A5-44F2-B6C0-06D5197C1619}"/>
              </c:ext>
            </c:extLst>
          </c:dPt>
          <c:dPt>
            <c:idx val="7"/>
            <c:bubble3D val="0"/>
            <c:spPr/>
            <c:extLst>
              <c:ext xmlns:c16="http://schemas.microsoft.com/office/drawing/2014/chart" uri="{C3380CC4-5D6E-409C-BE32-E72D297353CC}">
                <c16:uniqueId val="{00000001-A5A5-44F2-B6C0-06D5197C1619}"/>
              </c:ext>
            </c:extLst>
          </c:dPt>
          <c:dPt>
            <c:idx val="8"/>
            <c:marker>
              <c:symbol val="diamond"/>
              <c:size val="8"/>
              <c:spPr>
                <a:solidFill>
                  <a:srgbClr val="FF00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2D25-42FD-AD27-38D16BB64EB2}"/>
              </c:ext>
            </c:extLst>
          </c:dPt>
          <c:xVal>
            <c:numRef>
              <c:f>('Drivers&amp;Forecast'!$E$86:$H$86,'Drivers&amp;Forecast'!$J$86:$N$86)</c:f>
              <c:numCache>
                <c:formatCode>#,##0.0;[Red]\-#,##0.0</c:formatCode>
                <c:ptCount val="4"/>
                <c:pt idx="0">
                  <c:v>2.5437240232751455</c:v>
                </c:pt>
                <c:pt idx="1">
                  <c:v>2.3303822068667674</c:v>
                </c:pt>
                <c:pt idx="2">
                  <c:v>2.4029380902413431</c:v>
                </c:pt>
                <c:pt idx="3">
                  <c:v>2.2914253336691011</c:v>
                </c:pt>
              </c:numCache>
            </c:numRef>
          </c:xVal>
          <c:yVal>
            <c:numRef>
              <c:f>('Drivers&amp;Forecast'!$E$85:$H$85,'Drivers&amp;Forecast'!$J$85:$N$85)</c:f>
              <c:numCache>
                <c:formatCode>0.0%</c:formatCode>
                <c:ptCount val="4"/>
                <c:pt idx="0">
                  <c:v>0.106194216761236</c:v>
                </c:pt>
                <c:pt idx="1">
                  <c:v>0.11309574109234875</c:v>
                </c:pt>
                <c:pt idx="2">
                  <c:v>0.11997418879715148</c:v>
                </c:pt>
                <c:pt idx="3">
                  <c:v>5.4582310903156767E-2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'Drivers&amp;Forecast'!#REF!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A5A5-44F2-B6C0-06D5197C16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42929408"/>
        <c:axId val="-1442939200"/>
      </c:scatterChart>
      <c:valAx>
        <c:axId val="-1442929408"/>
        <c:scaling>
          <c:orientation val="minMax"/>
          <c:min val="1.5"/>
        </c:scaling>
        <c:delete val="0"/>
        <c:axPos val="b"/>
        <c:numFmt formatCode="#,##0.0;[Red]\-#,##0.0" sourceLinked="1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-1442939200"/>
        <c:crosses val="autoZero"/>
        <c:crossBetween val="midCat"/>
      </c:valAx>
      <c:valAx>
        <c:axId val="-1442939200"/>
        <c:scaling>
          <c:orientation val="minMax"/>
        </c:scaling>
        <c:delete val="0"/>
        <c:axPos val="l"/>
        <c:majorGridlines/>
        <c:numFmt formatCode="0.0%" sourceLinked="0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-144292940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75240594925634"/>
          <c:y val="5.1400554097404488E-2"/>
          <c:w val="0.60365726159230093"/>
          <c:h val="0.89719889180519097"/>
        </c:manualLayout>
      </c:layout>
      <c:scatterChart>
        <c:scatterStyle val="smoothMarker"/>
        <c:varyColors val="0"/>
        <c:ser>
          <c:idx val="10"/>
          <c:order val="0"/>
          <c:tx>
            <c:strRef>
              <c:f>'Drivers&amp;Forecast'!$B$83</c:f>
              <c:strCache>
                <c:ptCount val="1"/>
                <c:pt idx="0">
                  <c:v>EVA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dPt>
            <c:idx val="3"/>
            <c:marker>
              <c:symbol val="diamond"/>
              <c:size val="7"/>
              <c:spPr>
                <a:solidFill>
                  <a:schemeClr val="tx2"/>
                </a:solidFill>
                <a:ln>
                  <a:solidFill>
                    <a:schemeClr val="tx2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5F04-47E1-B32D-940D6F67AB41}"/>
              </c:ext>
            </c:extLst>
          </c:dPt>
          <c:dPt>
            <c:idx val="7"/>
            <c:bubble3D val="0"/>
            <c:spPr/>
            <c:extLst>
              <c:ext xmlns:c16="http://schemas.microsoft.com/office/drawing/2014/chart" uri="{C3380CC4-5D6E-409C-BE32-E72D297353CC}">
                <c16:uniqueId val="{00000001-5F04-47E1-B32D-940D6F67AB41}"/>
              </c:ext>
            </c:extLst>
          </c:dPt>
          <c:dPt>
            <c:idx val="8"/>
            <c:marker>
              <c:symbol val="diamond"/>
              <c:size val="8"/>
              <c:spPr>
                <a:solidFill>
                  <a:srgbClr val="FF00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C9FC-41DD-90C3-DE627E0C31C3}"/>
              </c:ext>
            </c:extLst>
          </c:dPt>
          <c:xVal>
            <c:numRef>
              <c:f>('Drivers&amp;Forecast'!$E$82:$H$82,'Drivers&amp;Forecast'!$J$82:$N$82)</c:f>
              <c:numCache>
                <c:formatCode>#,##0_);[Red]\(#,##0\)</c:formatCode>
                <c:ptCount val="4"/>
                <c:pt idx="0">
                  <c:v>12030</c:v>
                </c:pt>
                <c:pt idx="1">
                  <c:v>13893</c:v>
                </c:pt>
                <c:pt idx="2">
                  <c:v>14295</c:v>
                </c:pt>
                <c:pt idx="3">
                  <c:v>15884</c:v>
                </c:pt>
              </c:numCache>
            </c:numRef>
          </c:xVal>
          <c:yVal>
            <c:numRef>
              <c:f>('Drivers&amp;Forecast'!$E$81:$H$81,'Drivers&amp;Forecast'!$J$81:$N$81)</c:f>
              <c:numCache>
                <c:formatCode>0.0%</c:formatCode>
                <c:ptCount val="4"/>
                <c:pt idx="0">
                  <c:v>0.19984736919108953</c:v>
                </c:pt>
                <c:pt idx="1">
                  <c:v>0.19327489159666567</c:v>
                </c:pt>
                <c:pt idx="2">
                  <c:v>0.21800913698912694</c:v>
                </c:pt>
                <c:pt idx="3">
                  <c:v>5.4789878856341998E-2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F04-47E1-B32D-940D6F67AB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42943008"/>
        <c:axId val="-1442938656"/>
      </c:scatterChart>
      <c:valAx>
        <c:axId val="-1442943008"/>
        <c:scaling>
          <c:orientation val="minMax"/>
          <c:min val="10000"/>
        </c:scaling>
        <c:delete val="0"/>
        <c:axPos val="b"/>
        <c:numFmt formatCode="#,##0_);[Red]\(#,##0\)" sourceLinked="1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-1442938656"/>
        <c:crosses val="autoZero"/>
        <c:crossBetween val="midCat"/>
      </c:valAx>
      <c:valAx>
        <c:axId val="-1442938656"/>
        <c:scaling>
          <c:orientation val="minMax"/>
        </c:scaling>
        <c:delete val="0"/>
        <c:axPos val="l"/>
        <c:majorGridlines/>
        <c:numFmt formatCode="0.0%" sourceLinked="0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-144294300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94685039370078"/>
          <c:y val="3.2013440687458115E-2"/>
          <c:w val="0.78799518810148728"/>
          <c:h val="0.79493889290836706"/>
        </c:manualLayout>
      </c:layout>
      <c:lineChart>
        <c:grouping val="standard"/>
        <c:varyColors val="0"/>
        <c:ser>
          <c:idx val="0"/>
          <c:order val="0"/>
          <c:tx>
            <c:strRef>
              <c:f>'Drivers&amp;Forecast'!$P$7</c:f>
              <c:strCache>
                <c:ptCount val="1"/>
                <c:pt idx="0">
                  <c:v>売上成長率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('Drivers&amp;Forecast'!$R$5:$U$5,'Drivers&amp;Forecast'!$X$5:$AB$5)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('Drivers&amp;Forecast'!$R$7:$U$7,'Drivers&amp;Forecast'!$X$7:$AB$7)</c:f>
              <c:numCache>
                <c:formatCode>0.0%</c:formatCode>
                <c:ptCount val="4"/>
                <c:pt idx="0">
                  <c:v>0.10079499262563396</c:v>
                </c:pt>
                <c:pt idx="1">
                  <c:v>5.8004640371229765E-2</c:v>
                </c:pt>
                <c:pt idx="2">
                  <c:v>6.0971089696071123E-2</c:v>
                </c:pt>
                <c:pt idx="3">
                  <c:v>5.95924308588065E-2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26-4C38-902B-A565B90C2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42936480"/>
        <c:axId val="-1599645056"/>
      </c:lineChart>
      <c:lineChart>
        <c:grouping val="standard"/>
        <c:varyColors val="0"/>
        <c:ser>
          <c:idx val="1"/>
          <c:order val="1"/>
          <c:tx>
            <c:strRef>
              <c:f>'Historical Data Input'!$B$77</c:f>
              <c:strCache>
                <c:ptCount val="1"/>
                <c:pt idx="0">
                  <c:v>ROE =当期純利益÷期末株主資本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('Drivers&amp;Forecast'!$R$5:$U$5,'Drivers&amp;Forecast'!$X$5:$AB$5)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'Historical Data Input'!$E$77:$H$77</c:f>
              <c:numCache>
                <c:formatCode>0.0%</c:formatCode>
                <c:ptCount val="4"/>
                <c:pt idx="0">
                  <c:v>0.25757456520028332</c:v>
                </c:pt>
                <c:pt idx="1">
                  <c:v>0.3067384565181922</c:v>
                </c:pt>
                <c:pt idx="2">
                  <c:v>0.34174256468122832</c:v>
                </c:pt>
                <c:pt idx="3">
                  <c:v>0.19700366897676314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26-4C38-902B-A565B90C2547}"/>
            </c:ext>
          </c:extLst>
        </c:ser>
        <c:ser>
          <c:idx val="2"/>
          <c:order val="2"/>
          <c:tx>
            <c:strRef>
              <c:f>'Drivers&amp;Forecast'!$B$79</c:f>
              <c:strCache>
                <c:ptCount val="1"/>
                <c:pt idx="0">
                  <c:v>ROC =NOPAT÷期首投下資本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('Drivers&amp;Forecast'!$R$5:$U$5,'Drivers&amp;Forecast'!$X$5:$AB$5)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('Drivers&amp;Forecast'!$E$79:$H$79,'Drivers&amp;Forecast'!$J$79:$N$79)</c:f>
              <c:numCache>
                <c:formatCode>0.0%</c:formatCode>
                <c:ptCount val="4"/>
                <c:pt idx="0">
                  <c:v>0.27012878030844412</c:v>
                </c:pt>
                <c:pt idx="1">
                  <c:v>0.26355630271402025</c:v>
                </c:pt>
                <c:pt idx="2">
                  <c:v>0.28829054810648153</c:v>
                </c:pt>
                <c:pt idx="3">
                  <c:v>0.1250712899736966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26-4C38-902B-A565B90C2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361363456"/>
        <c:axId val="-1712689056"/>
      </c:lineChart>
      <c:catAx>
        <c:axId val="-14429364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-1599645056"/>
        <c:crosses val="autoZero"/>
        <c:auto val="1"/>
        <c:lblAlgn val="ctr"/>
        <c:lblOffset val="100"/>
        <c:noMultiLvlLbl val="0"/>
      </c:catAx>
      <c:valAx>
        <c:axId val="-1599645056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-1442936480"/>
        <c:crosses val="autoZero"/>
        <c:crossBetween val="between"/>
      </c:valAx>
      <c:valAx>
        <c:axId val="-1712689056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-1361363456"/>
        <c:crosses val="max"/>
        <c:crossBetween val="between"/>
      </c:valAx>
      <c:catAx>
        <c:axId val="-1361363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712689056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1.2936033818441797E-2"/>
          <c:y val="0.91218626475702114"/>
          <c:w val="0.98706403927095321"/>
          <c:h val="8.7813735242978669E-2"/>
        </c:manualLayout>
      </c:layout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607746733718511E-2"/>
          <c:y val="3.2013440687458115E-2"/>
          <c:w val="0.91748429777082119"/>
          <c:h val="0.761088404267826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'Historical Data Input'!$B$13</c:f>
              <c:strCache>
                <c:ptCount val="1"/>
                <c:pt idx="0">
                  <c:v>当期純利益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'Drivers&amp;Forecast'!$Q$5:$U$5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'Historical Data Input'!$D$13:$H$13</c:f>
              <c:numCache>
                <c:formatCode>#,##0_);[Red]\(#,##0\)</c:formatCode>
                <c:ptCount val="5"/>
                <c:pt idx="0">
                  <c:v>2739</c:v>
                </c:pt>
                <c:pt idx="1">
                  <c:v>3273</c:v>
                </c:pt>
                <c:pt idx="2">
                  <c:v>3760</c:v>
                </c:pt>
                <c:pt idx="3">
                  <c:v>4240</c:v>
                </c:pt>
                <c:pt idx="4">
                  <c:v>1933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60-4AD8-BFF7-61951FDE36FD}"/>
            </c:ext>
          </c:extLst>
        </c:ser>
        <c:ser>
          <c:idx val="1"/>
          <c:order val="1"/>
          <c:tx>
            <c:strRef>
              <c:f>'Historical Data Input'!$B$55</c:f>
              <c:strCache>
                <c:ptCount val="1"/>
                <c:pt idx="0">
                  <c:v>営業活動からのキャッシュフロー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'Drivers&amp;Forecast'!$Q$5:$U$5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'Historical Data Input'!$D$55:$H$55</c:f>
              <c:numCache>
                <c:formatCode>#,##0_);[Red]\(#,##0\)</c:formatCode>
                <c:ptCount val="5"/>
                <c:pt idx="0">
                  <c:v>3013</c:v>
                </c:pt>
                <c:pt idx="1">
                  <c:v>4680</c:v>
                </c:pt>
                <c:pt idx="2">
                  <c:v>3399</c:v>
                </c:pt>
                <c:pt idx="3">
                  <c:v>3846</c:v>
                </c:pt>
                <c:pt idx="4">
                  <c:v>4955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60-4AD8-BFF7-61951FDE36FD}"/>
            </c:ext>
          </c:extLst>
        </c:ser>
        <c:ser>
          <c:idx val="2"/>
          <c:order val="2"/>
          <c:tx>
            <c:strRef>
              <c:f>'Historical Data Input'!$B$60</c:f>
              <c:strCache>
                <c:ptCount val="1"/>
                <c:pt idx="0">
                  <c:v>投資活動からのキャッシュフロー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'Drivers&amp;Forecast'!$Q$5:$U$5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'Historical Data Input'!$D$60:$H$60</c:f>
              <c:numCache>
                <c:formatCode>#,##0_);[Red]\(#,##0\)</c:formatCode>
                <c:ptCount val="5"/>
                <c:pt idx="0">
                  <c:v>-1207</c:v>
                </c:pt>
                <c:pt idx="1">
                  <c:v>-175</c:v>
                </c:pt>
                <c:pt idx="2">
                  <c:v>-1034</c:v>
                </c:pt>
                <c:pt idx="3">
                  <c:v>-1008</c:v>
                </c:pt>
                <c:pt idx="4">
                  <c:v>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60-4AD8-BFF7-61951FDE36FD}"/>
            </c:ext>
          </c:extLst>
        </c:ser>
        <c:ser>
          <c:idx val="3"/>
          <c:order val="3"/>
          <c:tx>
            <c:strRef>
              <c:f>'Historical Data Input'!$B$66</c:f>
              <c:strCache>
                <c:ptCount val="1"/>
                <c:pt idx="0">
                  <c:v>財務活動からのキャッシュフロー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'Drivers&amp;Forecast'!$Q$5:$U$5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'Historical Data Input'!$D$66:$H$66</c:f>
              <c:numCache>
                <c:formatCode>#,##0_);[Red]\(#,##0\)</c:formatCode>
                <c:ptCount val="5"/>
                <c:pt idx="0">
                  <c:v>-2914</c:v>
                </c:pt>
                <c:pt idx="1">
                  <c:v>-2790</c:v>
                </c:pt>
                <c:pt idx="2">
                  <c:v>-2974</c:v>
                </c:pt>
                <c:pt idx="3">
                  <c:v>-2148</c:v>
                </c:pt>
                <c:pt idx="4">
                  <c:v>-4835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60-4AD8-BFF7-61951FDE3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61351488"/>
        <c:axId val="-1361354752"/>
      </c:barChart>
      <c:catAx>
        <c:axId val="-13613514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-1361354752"/>
        <c:crosses val="autoZero"/>
        <c:auto val="1"/>
        <c:lblAlgn val="ctr"/>
        <c:lblOffset val="100"/>
        <c:noMultiLvlLbl val="0"/>
      </c:catAx>
      <c:valAx>
        <c:axId val="-1361354752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-1361351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86705227990296785"/>
          <c:w val="1"/>
          <c:h val="0.13294772009703215"/>
        </c:manualLayout>
      </c:layout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607746733718511E-2"/>
          <c:y val="3.2013440687458115E-2"/>
          <c:w val="0.91748429777082119"/>
          <c:h val="0.70843208860476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'Historical Data Input'!$B$57</c:f>
              <c:strCache>
                <c:ptCount val="1"/>
                <c:pt idx="0">
                  <c:v>設備投資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'Drivers&amp;Forecast'!$Q$5:$U$5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'Historical Data Input'!$D$57:$H$57</c:f>
              <c:numCache>
                <c:formatCode>#,##0_);[Red]\(#,##0\)</c:formatCode>
                <c:ptCount val="5"/>
                <c:pt idx="0">
                  <c:v>-877</c:v>
                </c:pt>
                <c:pt idx="1">
                  <c:v>-960</c:v>
                </c:pt>
                <c:pt idx="2">
                  <c:v>-1133</c:v>
                </c:pt>
                <c:pt idx="3">
                  <c:v>-1092</c:v>
                </c:pt>
                <c:pt idx="4">
                  <c:v>-1025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95-4039-A3E1-0F3096BA6BBA}"/>
            </c:ext>
          </c:extLst>
        </c:ser>
        <c:ser>
          <c:idx val="1"/>
          <c:order val="1"/>
          <c:tx>
            <c:strRef>
              <c:f>'Historical Data Input'!$B$58</c:f>
              <c:strCache>
                <c:ptCount val="1"/>
                <c:pt idx="0">
                  <c:v>金融投資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'Drivers&amp;Forecast'!$Q$5:$U$5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'Historical Data Input'!$D$58:$H$58</c:f>
              <c:numCache>
                <c:formatCode>#,##0_);[Red]\(#,##0\)</c:formatCode>
                <c:ptCount val="5"/>
                <c:pt idx="0">
                  <c:v>-328</c:v>
                </c:pt>
                <c:pt idx="1">
                  <c:v>785</c:v>
                </c:pt>
                <c:pt idx="2">
                  <c:v>93</c:v>
                </c:pt>
                <c:pt idx="3">
                  <c:v>118</c:v>
                </c:pt>
                <c:pt idx="4">
                  <c:v>1326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95-4039-A3E1-0F3096BA6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61352576"/>
        <c:axId val="-1361350944"/>
      </c:barChart>
      <c:catAx>
        <c:axId val="-13613525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-1361350944"/>
        <c:crosses val="autoZero"/>
        <c:auto val="1"/>
        <c:lblAlgn val="ctr"/>
        <c:lblOffset val="100"/>
        <c:noMultiLvlLbl val="0"/>
      </c:catAx>
      <c:valAx>
        <c:axId val="-1361350944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-1361352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8670520453236028"/>
          <c:w val="1"/>
          <c:h val="0.13294772009703215"/>
        </c:manualLayout>
      </c:layout>
      <c:overlay val="0"/>
      <c:spPr>
        <a:ln>
          <a:noFill/>
        </a:ln>
      </c:spPr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607746733718511E-2"/>
          <c:y val="3.2013440687458115E-2"/>
          <c:w val="0.91748429777082119"/>
          <c:h val="0.70843208860476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'Historical Data Input'!$B$7</c:f>
              <c:strCache>
                <c:ptCount val="1"/>
                <c:pt idx="0">
                  <c:v>売上高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'Drivers&amp;Forecast'!$Q$5:$U$5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'Historical Data Input'!$D$7:$H$7</c:f>
              <c:numCache>
                <c:formatCode>#,##0_);[Red]\(#,##0\)</c:formatCode>
                <c:ptCount val="5"/>
                <c:pt idx="0">
                  <c:v>27799</c:v>
                </c:pt>
                <c:pt idx="1">
                  <c:v>30601</c:v>
                </c:pt>
                <c:pt idx="2">
                  <c:v>32376</c:v>
                </c:pt>
                <c:pt idx="3">
                  <c:v>34350</c:v>
                </c:pt>
                <c:pt idx="4">
                  <c:v>36397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B5-4404-82A0-B0A72921C628}"/>
            </c:ext>
          </c:extLst>
        </c:ser>
        <c:ser>
          <c:idx val="1"/>
          <c:order val="1"/>
          <c:tx>
            <c:strRef>
              <c:f>'Historical Data Input'!$B$28</c:f>
              <c:strCache>
                <c:ptCount val="1"/>
                <c:pt idx="0">
                  <c:v>総資産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'Drivers&amp;Forecast'!$Q$5:$U$5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'Historical Data Input'!$D$28:$H$28</c:f>
              <c:numCache>
                <c:formatCode>#,##0_);[Red]\(#,##0\)</c:formatCode>
                <c:ptCount val="5"/>
                <c:pt idx="0">
                  <c:v>18594</c:v>
                </c:pt>
                <c:pt idx="1">
                  <c:v>21600</c:v>
                </c:pt>
                <c:pt idx="2">
                  <c:v>21379</c:v>
                </c:pt>
                <c:pt idx="3">
                  <c:v>23259</c:v>
                </c:pt>
                <c:pt idx="4">
                  <c:v>22536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B5-4404-82A0-B0A72921C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61357472"/>
        <c:axId val="-1361366176"/>
      </c:barChart>
      <c:catAx>
        <c:axId val="-13613574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-1361366176"/>
        <c:crosses val="autoZero"/>
        <c:auto val="1"/>
        <c:lblAlgn val="ctr"/>
        <c:lblOffset val="100"/>
        <c:noMultiLvlLbl val="0"/>
      </c:catAx>
      <c:valAx>
        <c:axId val="-1361366176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-13613574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86705227990296785"/>
          <c:w val="1"/>
          <c:h val="0.13294772009703215"/>
        </c:manualLayout>
      </c:layout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171450</xdr:rowOff>
    </xdr:from>
    <xdr:to>
      <xdr:col>6</xdr:col>
      <xdr:colOff>638175</xdr:colOff>
      <xdr:row>58</xdr:row>
      <xdr:rowOff>119063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28575</xdr:colOff>
      <xdr:row>40</xdr:row>
      <xdr:rowOff>161925</xdr:rowOff>
    </xdr:from>
    <xdr:to>
      <xdr:col>13</xdr:col>
      <xdr:colOff>666750</xdr:colOff>
      <xdr:row>58</xdr:row>
      <xdr:rowOff>109538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21</xdr:row>
      <xdr:rowOff>9525</xdr:rowOff>
    </xdr:from>
    <xdr:to>
      <xdr:col>7</xdr:col>
      <xdr:colOff>714375</xdr:colOff>
      <xdr:row>38</xdr:row>
      <xdr:rowOff>147638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19050</xdr:colOff>
      <xdr:row>61</xdr:row>
      <xdr:rowOff>19050</xdr:rowOff>
    </xdr:from>
    <xdr:to>
      <xdr:col>13</xdr:col>
      <xdr:colOff>647700</xdr:colOff>
      <xdr:row>75</xdr:row>
      <xdr:rowOff>95250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61</xdr:row>
      <xdr:rowOff>28575</xdr:rowOff>
    </xdr:from>
    <xdr:to>
      <xdr:col>6</xdr:col>
      <xdr:colOff>628650</xdr:colOff>
      <xdr:row>75</xdr:row>
      <xdr:rowOff>104775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28575</xdr:colOff>
      <xdr:row>21</xdr:row>
      <xdr:rowOff>28575</xdr:rowOff>
    </xdr:from>
    <xdr:to>
      <xdr:col>13</xdr:col>
      <xdr:colOff>647701</xdr:colOff>
      <xdr:row>38</xdr:row>
      <xdr:rowOff>166688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</xdr:colOff>
      <xdr:row>1</xdr:row>
      <xdr:rowOff>38100</xdr:rowOff>
    </xdr:from>
    <xdr:to>
      <xdr:col>5</xdr:col>
      <xdr:colOff>647701</xdr:colOff>
      <xdr:row>18</xdr:row>
      <xdr:rowOff>176213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9525</xdr:colOff>
      <xdr:row>10</xdr:row>
      <xdr:rowOff>180976</xdr:rowOff>
    </xdr:from>
    <xdr:to>
      <xdr:col>9</xdr:col>
      <xdr:colOff>685800</xdr:colOff>
      <xdr:row>19</xdr:row>
      <xdr:rowOff>28576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19050</xdr:colOff>
      <xdr:row>1</xdr:row>
      <xdr:rowOff>38100</xdr:rowOff>
    </xdr:from>
    <xdr:to>
      <xdr:col>9</xdr:col>
      <xdr:colOff>695325</xdr:colOff>
      <xdr:row>9</xdr:row>
      <xdr:rowOff>76200</xdr:rowOff>
    </xdr:to>
    <xdr:graphicFrame macro="">
      <xdr:nvGraphicFramePr>
        <xdr:cNvPr id="13" name="グラフ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38100</xdr:colOff>
      <xdr:row>1</xdr:row>
      <xdr:rowOff>47624</xdr:rowOff>
    </xdr:from>
    <xdr:to>
      <xdr:col>14</xdr:col>
      <xdr:colOff>28575</xdr:colOff>
      <xdr:row>19</xdr:row>
      <xdr:rowOff>28575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133349</xdr:colOff>
      <xdr:row>0</xdr:row>
      <xdr:rowOff>66675</xdr:rowOff>
    </xdr:from>
    <xdr:to>
      <xdr:col>13</xdr:col>
      <xdr:colOff>219074</xdr:colOff>
      <xdr:row>17</xdr:row>
      <xdr:rowOff>123825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69"/>
  <sheetViews>
    <sheetView showGridLines="0" tabSelected="1" workbookViewId="0">
      <selection activeCell="D82" sqref="D82"/>
    </sheetView>
  </sheetViews>
  <sheetFormatPr defaultColWidth="9" defaultRowHeight="12" x14ac:dyDescent="0.2"/>
  <cols>
    <col min="1" max="1" width="2" style="1" customWidth="1"/>
    <col min="2" max="2" width="33" style="1" customWidth="1"/>
    <col min="3" max="3" width="1.42578125" style="2" customWidth="1"/>
    <col min="4" max="4" width="7.85546875" style="1" customWidth="1"/>
    <col min="5" max="7" width="8" style="1" bestFit="1" customWidth="1"/>
    <col min="8" max="8" width="9.42578125" style="1" bestFit="1" customWidth="1"/>
    <col min="9" max="16384" width="9" style="1"/>
  </cols>
  <sheetData>
    <row r="1" spans="1:8" x14ac:dyDescent="0.2">
      <c r="A1" s="131" t="s">
        <v>49</v>
      </c>
      <c r="D1" s="131" t="s">
        <v>52</v>
      </c>
      <c r="E1" s="184" t="s">
        <v>54</v>
      </c>
      <c r="G1" s="3"/>
    </row>
    <row r="2" spans="1:8" ht="14.25" x14ac:dyDescent="0.2">
      <c r="A2" s="182" t="s">
        <v>50</v>
      </c>
      <c r="B2" s="183"/>
      <c r="D2" s="131" t="s">
        <v>51</v>
      </c>
      <c r="E2" s="184" t="s">
        <v>53</v>
      </c>
      <c r="G2" s="3"/>
    </row>
    <row r="3" spans="1:8" s="4" customFormat="1" ht="15" x14ac:dyDescent="0.25">
      <c r="B3" s="5"/>
      <c r="C3" s="6"/>
      <c r="D3" s="7"/>
      <c r="H3" s="7"/>
    </row>
    <row r="4" spans="1:8" ht="14.25" x14ac:dyDescent="0.2">
      <c r="A4" s="133" t="s">
        <v>56</v>
      </c>
      <c r="D4" s="9"/>
      <c r="E4" s="9"/>
      <c r="F4" s="9"/>
      <c r="G4" s="9"/>
      <c r="H4" s="132" t="s">
        <v>55</v>
      </c>
    </row>
    <row r="5" spans="1:8" ht="12.75" thickBot="1" x14ac:dyDescent="0.25">
      <c r="D5" s="65">
        <f>E5-1</f>
        <v>2014</v>
      </c>
      <c r="E5" s="65">
        <f>F5-1</f>
        <v>2015</v>
      </c>
      <c r="F5" s="65">
        <f>G5-1</f>
        <v>2016</v>
      </c>
      <c r="G5" s="65">
        <f>H5-1</f>
        <v>2017</v>
      </c>
      <c r="H5" s="185">
        <v>2018</v>
      </c>
    </row>
    <row r="6" spans="1:8" ht="6" customHeight="1" thickTop="1" x14ac:dyDescent="0.2">
      <c r="D6" s="11"/>
      <c r="E6" s="11"/>
      <c r="F6" s="11"/>
      <c r="G6" s="11"/>
      <c r="H6" s="11"/>
    </row>
    <row r="7" spans="1:8" s="16" customFormat="1" x14ac:dyDescent="0.2">
      <c r="A7" s="13"/>
      <c r="B7" s="31" t="s">
        <v>161</v>
      </c>
      <c r="C7" s="13"/>
      <c r="D7" s="186">
        <v>27799</v>
      </c>
      <c r="E7" s="186">
        <v>30601</v>
      </c>
      <c r="F7" s="186">
        <v>32376</v>
      </c>
      <c r="G7" s="186">
        <v>34350</v>
      </c>
      <c r="H7" s="186">
        <v>36397</v>
      </c>
    </row>
    <row r="8" spans="1:8" s="16" customFormat="1" x14ac:dyDescent="0.2">
      <c r="A8" s="49" t="s">
        <v>5</v>
      </c>
      <c r="B8" s="134" t="s">
        <v>58</v>
      </c>
      <c r="C8" s="3"/>
      <c r="D8" s="187">
        <v>15353</v>
      </c>
      <c r="E8" s="187">
        <v>16534</v>
      </c>
      <c r="F8" s="187">
        <v>17405</v>
      </c>
      <c r="G8" s="187">
        <v>19038</v>
      </c>
      <c r="H8" s="187">
        <v>20441</v>
      </c>
    </row>
    <row r="9" spans="1:8" s="13" customFormat="1" x14ac:dyDescent="0.2">
      <c r="A9" s="46" t="s">
        <v>5</v>
      </c>
      <c r="B9" s="135" t="s">
        <v>59</v>
      </c>
      <c r="C9" s="2"/>
      <c r="D9" s="188">
        <v>8766</v>
      </c>
      <c r="E9" s="188">
        <v>9892</v>
      </c>
      <c r="F9" s="188">
        <v>10469</v>
      </c>
      <c r="G9" s="188">
        <v>10563</v>
      </c>
      <c r="H9" s="188">
        <v>11511</v>
      </c>
    </row>
    <row r="10" spans="1:8" s="16" customFormat="1" x14ac:dyDescent="0.2">
      <c r="A10" s="50" t="s">
        <v>4</v>
      </c>
      <c r="B10" s="31" t="s">
        <v>60</v>
      </c>
      <c r="C10" s="13"/>
      <c r="D10" s="14">
        <f>D7-D8-D9</f>
        <v>3680</v>
      </c>
      <c r="E10" s="14">
        <f>E7-E8-E9</f>
        <v>4175</v>
      </c>
      <c r="F10" s="14">
        <f>F7-F8-F9</f>
        <v>4502</v>
      </c>
      <c r="G10" s="14">
        <f>G7-G8-G9</f>
        <v>4749</v>
      </c>
      <c r="H10" s="14">
        <f>H7-H8-H9</f>
        <v>4445</v>
      </c>
    </row>
    <row r="11" spans="1:8" s="16" customFormat="1" x14ac:dyDescent="0.2">
      <c r="A11" s="24"/>
      <c r="B11" s="136" t="s">
        <v>195</v>
      </c>
      <c r="C11" s="13"/>
      <c r="D11" s="189">
        <v>3544</v>
      </c>
      <c r="E11" s="189">
        <v>4205</v>
      </c>
      <c r="F11" s="189">
        <v>4623</v>
      </c>
      <c r="G11" s="189">
        <v>4886</v>
      </c>
      <c r="H11" s="189">
        <v>4325</v>
      </c>
    </row>
    <row r="12" spans="1:8" x14ac:dyDescent="0.2">
      <c r="A12" s="34" t="s">
        <v>5</v>
      </c>
      <c r="B12" s="31" t="s">
        <v>61</v>
      </c>
      <c r="C12" s="13"/>
      <c r="D12" s="186">
        <v>805</v>
      </c>
      <c r="E12" s="186">
        <v>932</v>
      </c>
      <c r="F12" s="186">
        <v>863</v>
      </c>
      <c r="G12" s="186">
        <v>646</v>
      </c>
      <c r="H12" s="186">
        <v>2392</v>
      </c>
    </row>
    <row r="13" spans="1:8" s="16" customFormat="1" ht="12.75" thickBot="1" x14ac:dyDescent="0.25">
      <c r="A13" s="51" t="s">
        <v>6</v>
      </c>
      <c r="B13" s="137" t="s">
        <v>62</v>
      </c>
      <c r="C13" s="13"/>
      <c r="D13" s="25">
        <f>D11-D12</f>
        <v>2739</v>
      </c>
      <c r="E13" s="25">
        <f>E11-E12</f>
        <v>3273</v>
      </c>
      <c r="F13" s="25">
        <f>F11-F12</f>
        <v>3760</v>
      </c>
      <c r="G13" s="25">
        <f>G11-G12</f>
        <v>4240</v>
      </c>
      <c r="H13" s="25">
        <f>H11-H12</f>
        <v>1933</v>
      </c>
    </row>
    <row r="14" spans="1:8" ht="12.75" thickTop="1" x14ac:dyDescent="0.2">
      <c r="D14" s="26"/>
      <c r="E14" s="26"/>
      <c r="F14" s="26"/>
      <c r="G14" s="26"/>
      <c r="H14" s="26"/>
    </row>
    <row r="15" spans="1:8" x14ac:dyDescent="0.2">
      <c r="D15" s="26"/>
      <c r="E15" s="26"/>
      <c r="F15" s="26"/>
      <c r="G15" s="26"/>
      <c r="H15" s="26"/>
    </row>
    <row r="16" spans="1:8" ht="14.25" x14ac:dyDescent="0.2">
      <c r="A16" s="133" t="s">
        <v>57</v>
      </c>
      <c r="D16" s="9"/>
      <c r="E16" s="9"/>
      <c r="F16" s="9"/>
      <c r="G16" s="9"/>
      <c r="H16" s="9"/>
    </row>
    <row r="17" spans="1:12" ht="12.75" thickBot="1" x14ac:dyDescent="0.25">
      <c r="D17" s="65">
        <f>D5</f>
        <v>2014</v>
      </c>
      <c r="E17" s="65">
        <f>E5</f>
        <v>2015</v>
      </c>
      <c r="F17" s="65">
        <f>F5</f>
        <v>2016</v>
      </c>
      <c r="G17" s="65">
        <f>G5</f>
        <v>2017</v>
      </c>
      <c r="H17" s="65">
        <f>H5</f>
        <v>2018</v>
      </c>
    </row>
    <row r="18" spans="1:12" ht="12.75" thickTop="1" x14ac:dyDescent="0.2">
      <c r="A18" s="138" t="s">
        <v>63</v>
      </c>
      <c r="B18" s="13"/>
      <c r="D18" s="26"/>
      <c r="E18" s="26"/>
      <c r="F18" s="26"/>
      <c r="G18" s="26"/>
      <c r="H18" s="26"/>
    </row>
    <row r="19" spans="1:12" x14ac:dyDescent="0.2">
      <c r="A19" s="2"/>
      <c r="B19" s="138" t="s">
        <v>64</v>
      </c>
      <c r="D19" s="190">
        <v>2220</v>
      </c>
      <c r="E19" s="190">
        <v>3852</v>
      </c>
      <c r="F19" s="190">
        <v>3138</v>
      </c>
      <c r="G19" s="190">
        <v>3808</v>
      </c>
      <c r="H19" s="190">
        <v>4249</v>
      </c>
    </row>
    <row r="20" spans="1:12" x14ac:dyDescent="0.2">
      <c r="A20" s="2"/>
      <c r="B20" s="138" t="s">
        <v>65</v>
      </c>
      <c r="D20" s="190">
        <v>2922</v>
      </c>
      <c r="E20" s="190">
        <v>2072</v>
      </c>
      <c r="F20" s="190">
        <v>2319</v>
      </c>
      <c r="G20" s="190">
        <v>2371</v>
      </c>
      <c r="H20" s="190">
        <v>996</v>
      </c>
      <c r="J20" s="2"/>
    </row>
    <row r="21" spans="1:12" x14ac:dyDescent="0.2">
      <c r="A21" s="2"/>
      <c r="B21" s="138" t="s">
        <v>66</v>
      </c>
      <c r="D21" s="190">
        <v>3434</v>
      </c>
      <c r="E21" s="190">
        <v>3358</v>
      </c>
      <c r="F21" s="190">
        <v>3241</v>
      </c>
      <c r="G21" s="190">
        <v>3677</v>
      </c>
      <c r="H21" s="190">
        <v>3498</v>
      </c>
    </row>
    <row r="22" spans="1:12" x14ac:dyDescent="0.2">
      <c r="A22" s="2"/>
      <c r="B22" s="138" t="s">
        <v>67</v>
      </c>
      <c r="D22" s="190">
        <v>3947</v>
      </c>
      <c r="E22" s="190">
        <v>4337</v>
      </c>
      <c r="F22" s="190">
        <v>4838</v>
      </c>
      <c r="G22" s="190">
        <v>5055</v>
      </c>
      <c r="H22" s="190">
        <v>5261</v>
      </c>
    </row>
    <row r="23" spans="1:12" x14ac:dyDescent="0.2">
      <c r="A23" s="21"/>
      <c r="B23" s="139" t="s">
        <v>68</v>
      </c>
      <c r="D23" s="188">
        <f>355+818</f>
        <v>1173</v>
      </c>
      <c r="E23" s="188">
        <f>389+1968</f>
        <v>2357</v>
      </c>
      <c r="F23" s="188">
        <v>1489</v>
      </c>
      <c r="G23" s="188">
        <v>1150</v>
      </c>
      <c r="H23" s="188">
        <f>240+890</f>
        <v>1130</v>
      </c>
    </row>
    <row r="24" spans="1:12" x14ac:dyDescent="0.2">
      <c r="A24" s="31" t="s">
        <v>63</v>
      </c>
      <c r="B24" s="2"/>
      <c r="D24" s="26">
        <f>SUM(D19:D23)</f>
        <v>13696</v>
      </c>
      <c r="E24" s="26">
        <f>SUM(E19:E23)</f>
        <v>15976</v>
      </c>
      <c r="F24" s="26">
        <f>SUM(F19:F23)</f>
        <v>15025</v>
      </c>
      <c r="G24" s="26">
        <f>SUM(G19:G23)</f>
        <v>16061</v>
      </c>
      <c r="H24" s="26">
        <f>SUM(H19:H23)</f>
        <v>15134</v>
      </c>
      <c r="J24" s="42"/>
      <c r="L24" s="42"/>
    </row>
    <row r="25" spans="1:12" x14ac:dyDescent="0.2">
      <c r="A25" s="31" t="s">
        <v>69</v>
      </c>
      <c r="B25" s="13"/>
      <c r="D25" s="190">
        <v>2834</v>
      </c>
      <c r="E25" s="190">
        <v>3011</v>
      </c>
      <c r="F25" s="190">
        <v>3520</v>
      </c>
      <c r="G25" s="190">
        <v>3989</v>
      </c>
      <c r="H25" s="190">
        <v>4454</v>
      </c>
    </row>
    <row r="26" spans="1:12" x14ac:dyDescent="0.2">
      <c r="A26" s="31" t="s">
        <v>70</v>
      </c>
      <c r="B26" s="13"/>
      <c r="D26" s="190"/>
      <c r="E26" s="190"/>
      <c r="F26" s="190"/>
      <c r="G26" s="190"/>
      <c r="H26" s="190"/>
      <c r="J26" s="13"/>
    </row>
    <row r="27" spans="1:12" x14ac:dyDescent="0.2">
      <c r="A27" s="31" t="s">
        <v>71</v>
      </c>
      <c r="B27" s="13"/>
      <c r="D27" s="19">
        <f>D28-D24-D25-D26</f>
        <v>2064</v>
      </c>
      <c r="E27" s="19">
        <f>E28-E24-E25-E26</f>
        <v>2613</v>
      </c>
      <c r="F27" s="19">
        <f>F28-F24-F25-F26</f>
        <v>2834</v>
      </c>
      <c r="G27" s="19">
        <f>G28-G24-G25-G26</f>
        <v>3209</v>
      </c>
      <c r="H27" s="19">
        <f>H28-H24-H25-H26</f>
        <v>2948</v>
      </c>
    </row>
    <row r="28" spans="1:12" ht="12.75" thickBot="1" x14ac:dyDescent="0.25">
      <c r="A28" s="29"/>
      <c r="B28" s="140" t="s">
        <v>72</v>
      </c>
      <c r="D28" s="191">
        <v>18594</v>
      </c>
      <c r="E28" s="191">
        <v>21600</v>
      </c>
      <c r="F28" s="191">
        <v>21379</v>
      </c>
      <c r="G28" s="191">
        <v>23259</v>
      </c>
      <c r="H28" s="191">
        <v>22536</v>
      </c>
    </row>
    <row r="29" spans="1:12" ht="12.75" thickTop="1" x14ac:dyDescent="0.2">
      <c r="A29" s="13"/>
      <c r="B29" s="13"/>
      <c r="D29" s="27"/>
      <c r="E29" s="27"/>
      <c r="F29" s="27"/>
      <c r="G29" s="27"/>
      <c r="H29" s="27"/>
    </row>
    <row r="30" spans="1:12" x14ac:dyDescent="0.2">
      <c r="A30" s="138" t="s">
        <v>73</v>
      </c>
      <c r="B30" s="13"/>
      <c r="D30" s="35"/>
      <c r="E30" s="35"/>
      <c r="F30" s="35"/>
      <c r="G30" s="35"/>
      <c r="H30" s="35"/>
      <c r="I30" s="48"/>
    </row>
    <row r="31" spans="1:12" x14ac:dyDescent="0.2">
      <c r="A31" s="44"/>
      <c r="B31" s="138" t="s">
        <v>74</v>
      </c>
      <c r="D31" s="187">
        <v>7</v>
      </c>
      <c r="E31" s="187">
        <v>107</v>
      </c>
      <c r="F31" s="187">
        <v>44</v>
      </c>
      <c r="G31" s="187">
        <v>6</v>
      </c>
      <c r="H31" s="187">
        <v>6</v>
      </c>
      <c r="I31" s="48"/>
    </row>
    <row r="32" spans="1:12" x14ac:dyDescent="0.2">
      <c r="A32" s="2"/>
      <c r="B32" s="138" t="s">
        <v>75</v>
      </c>
      <c r="D32" s="19">
        <f>D33-D31</f>
        <v>5020</v>
      </c>
      <c r="E32" s="19">
        <f>E33-E31</f>
        <v>6227</v>
      </c>
      <c r="F32" s="19">
        <f>F33-F31</f>
        <v>5314</v>
      </c>
      <c r="G32" s="19">
        <f>G33-G31</f>
        <v>5468</v>
      </c>
      <c r="H32" s="19">
        <f>H33-H31</f>
        <v>6034</v>
      </c>
    </row>
    <row r="33" spans="1:8" x14ac:dyDescent="0.2">
      <c r="A33" s="141" t="s">
        <v>73</v>
      </c>
      <c r="B33" s="21"/>
      <c r="D33" s="188">
        <v>5027</v>
      </c>
      <c r="E33" s="188">
        <v>6334</v>
      </c>
      <c r="F33" s="188">
        <v>5358</v>
      </c>
      <c r="G33" s="188">
        <v>5474</v>
      </c>
      <c r="H33" s="188">
        <v>6040</v>
      </c>
    </row>
    <row r="34" spans="1:8" x14ac:dyDescent="0.2">
      <c r="A34" s="138" t="s">
        <v>76</v>
      </c>
      <c r="B34" s="13"/>
      <c r="D34" s="26"/>
      <c r="E34" s="26"/>
      <c r="F34" s="26"/>
      <c r="G34" s="26"/>
      <c r="H34" s="26"/>
    </row>
    <row r="35" spans="1:8" s="16" customFormat="1" x14ac:dyDescent="0.2">
      <c r="A35" s="2"/>
      <c r="B35" s="138" t="s">
        <v>77</v>
      </c>
      <c r="C35" s="13"/>
      <c r="D35" s="192">
        <v>1199</v>
      </c>
      <c r="E35" s="192">
        <v>1079</v>
      </c>
      <c r="F35" s="192">
        <v>1993</v>
      </c>
      <c r="G35" s="192">
        <v>3471</v>
      </c>
      <c r="H35" s="192">
        <v>3468</v>
      </c>
    </row>
    <row r="36" spans="1:8" x14ac:dyDescent="0.2">
      <c r="A36" s="2"/>
      <c r="B36" s="138" t="s">
        <v>78</v>
      </c>
      <c r="D36" s="26">
        <f>D37-D35</f>
        <v>1544</v>
      </c>
      <c r="E36" s="26">
        <f>E37-E35</f>
        <v>1480</v>
      </c>
      <c r="F36" s="26">
        <f>F37-F35</f>
        <v>1770</v>
      </c>
      <c r="G36" s="26">
        <f>G37-G35</f>
        <v>1907</v>
      </c>
      <c r="H36" s="26">
        <f>H37-H35</f>
        <v>3216</v>
      </c>
    </row>
    <row r="37" spans="1:8" x14ac:dyDescent="0.2">
      <c r="A37" s="141" t="s">
        <v>76</v>
      </c>
      <c r="B37" s="21"/>
      <c r="D37" s="188">
        <f>1199+1544</f>
        <v>2743</v>
      </c>
      <c r="E37" s="188">
        <f>1079+1480</f>
        <v>2559</v>
      </c>
      <c r="F37" s="188">
        <f>1993+1770</f>
        <v>3763</v>
      </c>
      <c r="G37" s="188">
        <f>3471+1907</f>
        <v>5378</v>
      </c>
      <c r="H37" s="188">
        <v>6684</v>
      </c>
    </row>
    <row r="38" spans="1:8" x14ac:dyDescent="0.2">
      <c r="A38" s="142" t="s">
        <v>79</v>
      </c>
      <c r="B38" s="3"/>
      <c r="D38" s="187"/>
      <c r="E38" s="187"/>
      <c r="F38" s="187"/>
      <c r="G38" s="187"/>
      <c r="H38" s="187"/>
    </row>
    <row r="39" spans="1:8" x14ac:dyDescent="0.2">
      <c r="A39" s="138" t="s">
        <v>80</v>
      </c>
      <c r="B39" s="13"/>
      <c r="D39" s="26"/>
      <c r="E39" s="26"/>
      <c r="F39" s="26"/>
      <c r="G39" s="26"/>
      <c r="H39" s="26"/>
    </row>
    <row r="40" spans="1:8" x14ac:dyDescent="0.2">
      <c r="A40" s="2"/>
      <c r="B40" s="143" t="s">
        <v>83</v>
      </c>
      <c r="D40" s="190">
        <f>3+5865+4871</f>
        <v>10739</v>
      </c>
      <c r="E40" s="190">
        <f>3+6773+4685</f>
        <v>11461</v>
      </c>
      <c r="F40" s="190">
        <f>3+7786+4151</f>
        <v>11940</v>
      </c>
      <c r="G40" s="190">
        <f>3+8638+3979</f>
        <v>12620</v>
      </c>
      <c r="H40" s="190">
        <f>9812+92</f>
        <v>9904</v>
      </c>
    </row>
    <row r="41" spans="1:8" x14ac:dyDescent="0.2">
      <c r="A41" s="2"/>
      <c r="B41" s="138" t="s">
        <v>84</v>
      </c>
      <c r="D41" s="190"/>
      <c r="E41" s="190"/>
      <c r="F41" s="190"/>
      <c r="G41" s="190"/>
      <c r="H41" s="190"/>
    </row>
    <row r="42" spans="1:8" x14ac:dyDescent="0.2">
      <c r="A42" s="2"/>
      <c r="B42" s="138" t="s">
        <v>82</v>
      </c>
      <c r="D42" s="190">
        <v>85</v>
      </c>
      <c r="E42" s="190">
        <v>1246</v>
      </c>
      <c r="F42" s="190">
        <v>318</v>
      </c>
      <c r="G42" s="190">
        <v>-213</v>
      </c>
      <c r="H42" s="190">
        <v>-92</v>
      </c>
    </row>
    <row r="43" spans="1:8" x14ac:dyDescent="0.2">
      <c r="A43" s="31" t="s">
        <v>80</v>
      </c>
      <c r="D43" s="19">
        <f t="shared" ref="D43:F43" si="0">SUM(D40:D42)</f>
        <v>10824</v>
      </c>
      <c r="E43" s="19">
        <f t="shared" si="0"/>
        <v>12707</v>
      </c>
      <c r="F43" s="19">
        <f t="shared" si="0"/>
        <v>12258</v>
      </c>
      <c r="G43" s="19">
        <f>SUM(G40:G42)</f>
        <v>12407</v>
      </c>
      <c r="H43" s="19">
        <f>SUM(H40:H42)</f>
        <v>9812</v>
      </c>
    </row>
    <row r="44" spans="1:8" ht="12.75" thickBot="1" x14ac:dyDescent="0.25">
      <c r="A44" s="29"/>
      <c r="B44" s="140" t="s">
        <v>81</v>
      </c>
      <c r="D44" s="68">
        <f>D43+D38+D37+D33</f>
        <v>18594</v>
      </c>
      <c r="E44" s="68">
        <f>E43+E38+E37+E33</f>
        <v>21600</v>
      </c>
      <c r="F44" s="68">
        <f>F43+F38+F37+F33</f>
        <v>21379</v>
      </c>
      <c r="G44" s="68">
        <f>G43+G38+G37+G33</f>
        <v>23259</v>
      </c>
      <c r="H44" s="68">
        <f>H43+H38+H37+H33</f>
        <v>22536</v>
      </c>
    </row>
    <row r="45" spans="1:8" ht="12.75" thickTop="1" x14ac:dyDescent="0.2">
      <c r="D45" s="26"/>
      <c r="E45" s="26"/>
      <c r="F45" s="26"/>
      <c r="G45" s="26"/>
      <c r="H45" s="26"/>
    </row>
    <row r="46" spans="1:8" x14ac:dyDescent="0.2">
      <c r="A46" s="131" t="s">
        <v>124</v>
      </c>
      <c r="D46" s="26">
        <f>D44-D28</f>
        <v>0</v>
      </c>
      <c r="E46" s="26">
        <f>E44-E28</f>
        <v>0</v>
      </c>
      <c r="F46" s="26">
        <f>F44-F28</f>
        <v>0</v>
      </c>
      <c r="G46" s="26">
        <f>G44-G28</f>
        <v>0</v>
      </c>
      <c r="H46" s="26">
        <f>H44-H28</f>
        <v>0</v>
      </c>
    </row>
    <row r="47" spans="1:8" x14ac:dyDescent="0.2">
      <c r="D47" s="26"/>
      <c r="E47" s="26"/>
      <c r="F47" s="26"/>
      <c r="G47" s="26"/>
      <c r="H47" s="26"/>
    </row>
    <row r="48" spans="1:8" x14ac:dyDescent="0.2">
      <c r="D48" s="26"/>
      <c r="E48" s="26"/>
      <c r="F48" s="26"/>
      <c r="G48" s="26"/>
      <c r="H48" s="26"/>
    </row>
    <row r="49" spans="1:10" ht="14.25" x14ac:dyDescent="0.2">
      <c r="A49" s="133" t="s">
        <v>85</v>
      </c>
      <c r="D49" s="9"/>
      <c r="E49" s="9"/>
      <c r="F49" s="9"/>
      <c r="G49" s="9"/>
      <c r="H49" s="9"/>
    </row>
    <row r="50" spans="1:10" ht="12.75" thickBot="1" x14ac:dyDescent="0.25">
      <c r="D50" s="65">
        <f>D17</f>
        <v>2014</v>
      </c>
      <c r="E50" s="65">
        <f>E17</f>
        <v>2015</v>
      </c>
      <c r="F50" s="65">
        <f>F17</f>
        <v>2016</v>
      </c>
      <c r="G50" s="65">
        <f>G17</f>
        <v>2017</v>
      </c>
      <c r="H50" s="65">
        <f>H17</f>
        <v>2018</v>
      </c>
    </row>
    <row r="51" spans="1:10" ht="12.75" thickTop="1" x14ac:dyDescent="0.2">
      <c r="D51" s="26"/>
      <c r="E51" s="26"/>
      <c r="F51" s="26"/>
      <c r="G51" s="26"/>
      <c r="H51" s="26"/>
    </row>
    <row r="52" spans="1:10" x14ac:dyDescent="0.2">
      <c r="B52" s="42" t="str">
        <f>B13</f>
        <v>当期純利益</v>
      </c>
      <c r="D52" s="26">
        <f>D13</f>
        <v>2739</v>
      </c>
      <c r="E52" s="26">
        <f>E13</f>
        <v>3273</v>
      </c>
      <c r="F52" s="26">
        <f>F13</f>
        <v>3760</v>
      </c>
      <c r="G52" s="26">
        <f>G13</f>
        <v>4240</v>
      </c>
      <c r="H52" s="26">
        <f>H13</f>
        <v>1933</v>
      </c>
    </row>
    <row r="53" spans="1:10" x14ac:dyDescent="0.2">
      <c r="A53" s="1" t="s">
        <v>34</v>
      </c>
      <c r="B53" s="131" t="s">
        <v>86</v>
      </c>
      <c r="D53" s="190">
        <v>518</v>
      </c>
      <c r="E53" s="190">
        <v>606</v>
      </c>
      <c r="F53" s="190">
        <v>649</v>
      </c>
      <c r="G53" s="190">
        <v>706</v>
      </c>
      <c r="H53" s="190">
        <v>747</v>
      </c>
    </row>
    <row r="54" spans="1:10" x14ac:dyDescent="0.2">
      <c r="A54" s="1" t="s">
        <v>34</v>
      </c>
      <c r="B54" s="131" t="s">
        <v>82</v>
      </c>
      <c r="D54" s="19">
        <f t="shared" ref="D54:E54" si="1">D55-D52-D53</f>
        <v>-244</v>
      </c>
      <c r="E54" s="19">
        <f t="shared" si="1"/>
        <v>801</v>
      </c>
      <c r="F54" s="19">
        <f>F55-F52-F53</f>
        <v>-1010</v>
      </c>
      <c r="G54" s="19">
        <f t="shared" ref="G54:H54" si="2">G55-G52-G53</f>
        <v>-1100</v>
      </c>
      <c r="H54" s="19">
        <f t="shared" si="2"/>
        <v>2275</v>
      </c>
    </row>
    <row r="55" spans="1:10" x14ac:dyDescent="0.2">
      <c r="A55" s="116" t="s">
        <v>35</v>
      </c>
      <c r="B55" s="144" t="s">
        <v>87</v>
      </c>
      <c r="D55" s="188">
        <v>3013</v>
      </c>
      <c r="E55" s="188">
        <v>4680</v>
      </c>
      <c r="F55" s="188">
        <v>3399</v>
      </c>
      <c r="G55" s="188">
        <v>3846</v>
      </c>
      <c r="H55" s="188">
        <v>4955</v>
      </c>
    </row>
    <row r="56" spans="1:10" x14ac:dyDescent="0.2">
      <c r="B56" s="16"/>
      <c r="D56" s="19"/>
      <c r="E56" s="19"/>
      <c r="F56" s="19"/>
      <c r="G56" s="19"/>
      <c r="H56" s="19"/>
    </row>
    <row r="57" spans="1:10" x14ac:dyDescent="0.2">
      <c r="B57" s="131" t="s">
        <v>88</v>
      </c>
      <c r="D57" s="190">
        <f>-880+3</f>
        <v>-877</v>
      </c>
      <c r="E57" s="190">
        <f>-963+3</f>
        <v>-960</v>
      </c>
      <c r="F57" s="190">
        <f>-1143+10</f>
        <v>-1133</v>
      </c>
      <c r="G57" s="190">
        <f>-1105+13</f>
        <v>-1092</v>
      </c>
      <c r="H57" s="190">
        <v>-1025</v>
      </c>
    </row>
    <row r="58" spans="1:10" x14ac:dyDescent="0.2">
      <c r="A58" s="1" t="s">
        <v>34</v>
      </c>
      <c r="B58" s="131" t="s">
        <v>89</v>
      </c>
      <c r="D58" s="190">
        <v>-328</v>
      </c>
      <c r="E58" s="190">
        <v>785</v>
      </c>
      <c r="F58" s="190">
        <v>93</v>
      </c>
      <c r="G58" s="190">
        <v>118</v>
      </c>
      <c r="H58" s="190">
        <v>1326</v>
      </c>
      <c r="J58" s="19"/>
    </row>
    <row r="59" spans="1:10" x14ac:dyDescent="0.2">
      <c r="A59" s="1" t="s">
        <v>34</v>
      </c>
      <c r="B59" s="131" t="s">
        <v>82</v>
      </c>
      <c r="D59" s="19">
        <f t="shared" ref="D59" si="3">D60-D57-D58</f>
        <v>-2</v>
      </c>
      <c r="E59" s="19">
        <f t="shared" ref="E59" si="4">E60-E57-E58</f>
        <v>0</v>
      </c>
      <c r="F59" s="19">
        <f>F60-F57-F58</f>
        <v>6</v>
      </c>
      <c r="G59" s="19">
        <f t="shared" ref="G59" si="5">G60-G57-G58</f>
        <v>-34</v>
      </c>
      <c r="H59" s="19">
        <f t="shared" ref="H59" si="6">H60-H57-H58</f>
        <v>-25</v>
      </c>
    </row>
    <row r="60" spans="1:10" x14ac:dyDescent="0.2">
      <c r="A60" s="116" t="s">
        <v>35</v>
      </c>
      <c r="B60" s="144" t="s">
        <v>90</v>
      </c>
      <c r="D60" s="188">
        <v>-1207</v>
      </c>
      <c r="E60" s="188">
        <v>-175</v>
      </c>
      <c r="F60" s="188">
        <v>-1034</v>
      </c>
      <c r="G60" s="188">
        <v>-1008</v>
      </c>
      <c r="H60" s="188">
        <v>276</v>
      </c>
    </row>
    <row r="61" spans="1:10" x14ac:dyDescent="0.2">
      <c r="B61" s="16"/>
      <c r="D61" s="19"/>
      <c r="E61" s="19"/>
      <c r="F61" s="19"/>
      <c r="G61" s="19"/>
      <c r="H61" s="19"/>
    </row>
    <row r="62" spans="1:10" x14ac:dyDescent="0.2">
      <c r="B62" s="131" t="s">
        <v>91</v>
      </c>
      <c r="D62" s="190">
        <v>-799</v>
      </c>
      <c r="E62" s="190">
        <v>-899</v>
      </c>
      <c r="F62" s="190">
        <v>-1022</v>
      </c>
      <c r="G62" s="190">
        <v>-1133</v>
      </c>
      <c r="H62" s="190">
        <v>-1243</v>
      </c>
    </row>
    <row r="63" spans="1:10" x14ac:dyDescent="0.2">
      <c r="A63" s="1" t="s">
        <v>34</v>
      </c>
      <c r="B63" s="131" t="s">
        <v>92</v>
      </c>
      <c r="D63" s="190">
        <v>-2628</v>
      </c>
      <c r="E63" s="190">
        <v>-2534</v>
      </c>
      <c r="F63" s="190">
        <v>-3238</v>
      </c>
      <c r="G63" s="190">
        <v>-3223</v>
      </c>
      <c r="H63" s="190">
        <v>-4254</v>
      </c>
    </row>
    <row r="64" spans="1:10" x14ac:dyDescent="0.2">
      <c r="A64" s="1" t="s">
        <v>34</v>
      </c>
      <c r="B64" s="131" t="s">
        <v>101</v>
      </c>
      <c r="D64" s="190">
        <v>15</v>
      </c>
      <c r="E64" s="190">
        <v>-70</v>
      </c>
      <c r="F64" s="190">
        <v>808</v>
      </c>
      <c r="G64" s="190">
        <v>1765</v>
      </c>
      <c r="H64" s="190">
        <v>7</v>
      </c>
    </row>
    <row r="65" spans="1:8" x14ac:dyDescent="0.2">
      <c r="A65" s="1" t="s">
        <v>34</v>
      </c>
      <c r="B65" s="131" t="s">
        <v>82</v>
      </c>
      <c r="C65" s="1"/>
      <c r="D65" s="42">
        <f t="shared" ref="D65:E65" si="7">D66-D62-D63-D64</f>
        <v>498</v>
      </c>
      <c r="E65" s="42">
        <f t="shared" si="7"/>
        <v>713</v>
      </c>
      <c r="F65" s="42">
        <f>F66-F62-F63-F64</f>
        <v>478</v>
      </c>
      <c r="G65" s="42">
        <f t="shared" ref="G65:H65" si="8">G66-G62-G63-G64</f>
        <v>443</v>
      </c>
      <c r="H65" s="42">
        <f t="shared" si="8"/>
        <v>655</v>
      </c>
    </row>
    <row r="66" spans="1:8" x14ac:dyDescent="0.2">
      <c r="A66" s="116" t="s">
        <v>35</v>
      </c>
      <c r="B66" s="144" t="s">
        <v>93</v>
      </c>
      <c r="D66" s="188">
        <v>-2914</v>
      </c>
      <c r="E66" s="188">
        <v>-2790</v>
      </c>
      <c r="F66" s="188">
        <v>-2974</v>
      </c>
      <c r="G66" s="188">
        <v>-2148</v>
      </c>
      <c r="H66" s="188">
        <v>-4835</v>
      </c>
    </row>
    <row r="67" spans="1:8" x14ac:dyDescent="0.2">
      <c r="D67" s="26"/>
      <c r="E67" s="26"/>
      <c r="F67" s="26"/>
      <c r="G67" s="26"/>
      <c r="H67" s="26"/>
    </row>
    <row r="68" spans="1:8" x14ac:dyDescent="0.2">
      <c r="D68" s="26"/>
      <c r="E68" s="26"/>
      <c r="F68" s="26"/>
      <c r="G68" s="26"/>
      <c r="H68" s="26"/>
    </row>
    <row r="69" spans="1:8" ht="14.25" x14ac:dyDescent="0.2">
      <c r="A69" s="133" t="s">
        <v>82</v>
      </c>
      <c r="D69" s="26"/>
      <c r="E69" s="26"/>
      <c r="F69" s="26"/>
      <c r="G69" s="26"/>
      <c r="H69" s="26"/>
    </row>
    <row r="70" spans="1:8" x14ac:dyDescent="0.2">
      <c r="A70" s="131" t="s">
        <v>94</v>
      </c>
      <c r="D70" s="26"/>
      <c r="E70" s="26"/>
      <c r="F70" s="26"/>
      <c r="G70" s="26"/>
      <c r="H70" s="190">
        <f>1600.554538</f>
        <v>1600.5545380000001</v>
      </c>
    </row>
    <row r="71" spans="1:8" x14ac:dyDescent="0.2">
      <c r="A71" s="131" t="s">
        <v>95</v>
      </c>
      <c r="D71" s="26"/>
      <c r="E71" s="26"/>
      <c r="F71" s="26"/>
      <c r="G71" s="26"/>
      <c r="H71" s="190" t="s">
        <v>16</v>
      </c>
    </row>
    <row r="72" spans="1:8" x14ac:dyDescent="0.2">
      <c r="C72" s="1"/>
      <c r="E72" s="26"/>
      <c r="F72" s="26"/>
      <c r="G72" s="26"/>
      <c r="H72" s="26"/>
    </row>
    <row r="73" spans="1:8" x14ac:dyDescent="0.2">
      <c r="A73" s="131" t="s">
        <v>96</v>
      </c>
      <c r="D73" s="205">
        <v>43404</v>
      </c>
      <c r="E73" s="205"/>
      <c r="F73" s="205"/>
      <c r="G73" s="26"/>
      <c r="H73" s="193">
        <v>74.819999999999993</v>
      </c>
    </row>
    <row r="74" spans="1:8" x14ac:dyDescent="0.2">
      <c r="D74" s="26"/>
      <c r="E74" s="26"/>
      <c r="F74" s="26"/>
      <c r="G74" s="26"/>
      <c r="H74" s="26"/>
    </row>
    <row r="75" spans="1:8" ht="14.25" x14ac:dyDescent="0.2">
      <c r="A75" s="145" t="s">
        <v>97</v>
      </c>
      <c r="B75" s="3"/>
      <c r="C75" s="3"/>
      <c r="D75" s="35"/>
      <c r="E75" s="35"/>
      <c r="F75" s="35"/>
      <c r="G75" s="35"/>
      <c r="H75" s="35"/>
    </row>
    <row r="76" spans="1:8" x14ac:dyDescent="0.2">
      <c r="A76" s="3"/>
      <c r="B76" s="3" t="s">
        <v>98</v>
      </c>
      <c r="C76" s="3"/>
      <c r="D76" s="78">
        <f>'Historical Data Input'!D10/'Historical Data Input'!D28</f>
        <v>0.19791330536732279</v>
      </c>
      <c r="E76" s="78">
        <f>'Historical Data Input'!E10/'Historical Data Input'!E28</f>
        <v>0.19328703703703703</v>
      </c>
      <c r="F76" s="78">
        <f>'Historical Data Input'!F10/'Historical Data Input'!F28</f>
        <v>0.21058047616820244</v>
      </c>
      <c r="G76" s="78">
        <f>'Historical Data Input'!G10/'Historical Data Input'!G28</f>
        <v>0.20417902747323616</v>
      </c>
      <c r="H76" s="78">
        <f>'Historical Data Input'!H10/'Historical Data Input'!H28</f>
        <v>0.19723997160099396</v>
      </c>
    </row>
    <row r="77" spans="1:8" x14ac:dyDescent="0.2">
      <c r="A77" s="3"/>
      <c r="B77" s="3" t="s">
        <v>99</v>
      </c>
      <c r="C77" s="3"/>
      <c r="D77" s="78">
        <f>'Historical Data Input'!D13/'Historical Data Input'!D43</f>
        <v>0.25304878048780488</v>
      </c>
      <c r="E77" s="78">
        <f>'Historical Data Input'!E13/'Historical Data Input'!E43</f>
        <v>0.25757456520028332</v>
      </c>
      <c r="F77" s="78">
        <f>'Historical Data Input'!F13/'Historical Data Input'!F43</f>
        <v>0.3067384565181922</v>
      </c>
      <c r="G77" s="78">
        <f>'Historical Data Input'!G13/'Historical Data Input'!G43</f>
        <v>0.34174256468122832</v>
      </c>
      <c r="H77" s="78">
        <f>'Historical Data Input'!H13/'Historical Data Input'!H43</f>
        <v>0.19700366897676314</v>
      </c>
    </row>
    <row r="78" spans="1:8" x14ac:dyDescent="0.2">
      <c r="B78" s="131" t="s">
        <v>100</v>
      </c>
      <c r="D78" s="87">
        <f>(D37+D33)/D44</f>
        <v>0.41787673443046142</v>
      </c>
      <c r="E78" s="87">
        <f t="shared" ref="E78:H78" si="9">(E37+E33)/E44</f>
        <v>0.41171296296296295</v>
      </c>
      <c r="F78" s="87">
        <f t="shared" si="9"/>
        <v>0.42663361242340614</v>
      </c>
      <c r="G78" s="87">
        <f t="shared" si="9"/>
        <v>0.46657207962509134</v>
      </c>
      <c r="H78" s="87">
        <f t="shared" si="9"/>
        <v>0.56460773872914449</v>
      </c>
    </row>
    <row r="79" spans="1:8" x14ac:dyDescent="0.2">
      <c r="D79" s="26"/>
      <c r="E79" s="26"/>
      <c r="F79" s="26"/>
      <c r="G79" s="26"/>
      <c r="H79" s="26"/>
    </row>
    <row r="80" spans="1:8" x14ac:dyDescent="0.2">
      <c r="D80" s="26"/>
      <c r="E80" s="26"/>
      <c r="F80" s="26"/>
      <c r="G80" s="26"/>
      <c r="H80" s="26"/>
    </row>
    <row r="81" spans="4:8" x14ac:dyDescent="0.2">
      <c r="D81" s="26"/>
      <c r="E81" s="26"/>
      <c r="F81" s="26"/>
      <c r="G81" s="26"/>
      <c r="H81" s="26"/>
    </row>
    <row r="82" spans="4:8" x14ac:dyDescent="0.2">
      <c r="D82" s="26"/>
      <c r="E82" s="26"/>
      <c r="F82" s="26"/>
      <c r="G82" s="26"/>
      <c r="H82" s="26"/>
    </row>
    <row r="83" spans="4:8" x14ac:dyDescent="0.2">
      <c r="D83" s="26"/>
      <c r="E83" s="26"/>
      <c r="F83" s="26"/>
      <c r="G83" s="26"/>
      <c r="H83" s="26"/>
    </row>
    <row r="84" spans="4:8" x14ac:dyDescent="0.2">
      <c r="D84" s="26"/>
      <c r="E84" s="26"/>
      <c r="F84" s="26"/>
      <c r="G84" s="26"/>
      <c r="H84" s="26"/>
    </row>
    <row r="85" spans="4:8" x14ac:dyDescent="0.2">
      <c r="D85" s="26"/>
      <c r="E85" s="26"/>
      <c r="F85" s="26"/>
      <c r="G85" s="26"/>
      <c r="H85" s="26"/>
    </row>
    <row r="86" spans="4:8" x14ac:dyDescent="0.2">
      <c r="D86" s="26"/>
      <c r="E86" s="26"/>
      <c r="F86" s="26"/>
      <c r="G86" s="26"/>
      <c r="H86" s="26"/>
    </row>
    <row r="87" spans="4:8" x14ac:dyDescent="0.2">
      <c r="D87" s="26"/>
      <c r="E87" s="26"/>
      <c r="F87" s="26"/>
      <c r="G87" s="26"/>
      <c r="H87" s="26"/>
    </row>
    <row r="88" spans="4:8" x14ac:dyDescent="0.2">
      <c r="D88" s="26"/>
      <c r="E88" s="26"/>
      <c r="F88" s="26"/>
      <c r="G88" s="26"/>
      <c r="H88" s="26"/>
    </row>
    <row r="89" spans="4:8" x14ac:dyDescent="0.2">
      <c r="D89" s="26"/>
      <c r="E89" s="26"/>
      <c r="F89" s="26"/>
      <c r="G89" s="26"/>
      <c r="H89" s="26"/>
    </row>
    <row r="90" spans="4:8" x14ac:dyDescent="0.2">
      <c r="D90" s="26"/>
      <c r="E90" s="26"/>
      <c r="F90" s="26"/>
      <c r="G90" s="26"/>
      <c r="H90" s="26"/>
    </row>
    <row r="91" spans="4:8" x14ac:dyDescent="0.2">
      <c r="D91" s="26"/>
      <c r="E91" s="26"/>
      <c r="F91" s="26"/>
      <c r="G91" s="26"/>
      <c r="H91" s="26"/>
    </row>
    <row r="92" spans="4:8" x14ac:dyDescent="0.2">
      <c r="D92" s="26"/>
      <c r="E92" s="26"/>
      <c r="F92" s="26"/>
      <c r="G92" s="26"/>
      <c r="H92" s="26"/>
    </row>
    <row r="93" spans="4:8" x14ac:dyDescent="0.2">
      <c r="D93" s="26"/>
      <c r="E93" s="26"/>
      <c r="F93" s="26"/>
      <c r="G93" s="26"/>
      <c r="H93" s="26"/>
    </row>
    <row r="94" spans="4:8" x14ac:dyDescent="0.2">
      <c r="D94" s="26"/>
      <c r="E94" s="26"/>
      <c r="F94" s="26"/>
      <c r="G94" s="26"/>
      <c r="H94" s="26"/>
    </row>
    <row r="95" spans="4:8" x14ac:dyDescent="0.2">
      <c r="D95" s="26"/>
      <c r="E95" s="26"/>
      <c r="F95" s="26"/>
      <c r="G95" s="26"/>
      <c r="H95" s="26"/>
    </row>
    <row r="96" spans="4:8" x14ac:dyDescent="0.2">
      <c r="D96" s="26"/>
      <c r="E96" s="26"/>
      <c r="F96" s="26"/>
      <c r="G96" s="26"/>
      <c r="H96" s="26"/>
    </row>
    <row r="97" spans="4:8" x14ac:dyDescent="0.2">
      <c r="D97" s="26"/>
      <c r="E97" s="26"/>
      <c r="F97" s="26"/>
      <c r="G97" s="26"/>
      <c r="H97" s="26"/>
    </row>
    <row r="98" spans="4:8" x14ac:dyDescent="0.2">
      <c r="D98" s="26"/>
      <c r="E98" s="26"/>
      <c r="F98" s="26"/>
      <c r="G98" s="26"/>
      <c r="H98" s="26"/>
    </row>
    <row r="99" spans="4:8" x14ac:dyDescent="0.2">
      <c r="D99" s="26"/>
      <c r="E99" s="26"/>
      <c r="F99" s="26"/>
      <c r="G99" s="26"/>
      <c r="H99" s="26"/>
    </row>
    <row r="100" spans="4:8" x14ac:dyDescent="0.2">
      <c r="D100" s="26"/>
      <c r="E100" s="26"/>
      <c r="F100" s="26"/>
      <c r="G100" s="26"/>
      <c r="H100" s="26"/>
    </row>
    <row r="101" spans="4:8" x14ac:dyDescent="0.2">
      <c r="D101" s="26"/>
      <c r="E101" s="26"/>
      <c r="F101" s="26"/>
      <c r="G101" s="26"/>
      <c r="H101" s="26"/>
    </row>
    <row r="102" spans="4:8" x14ac:dyDescent="0.2">
      <c r="D102" s="26"/>
      <c r="E102" s="26"/>
      <c r="F102" s="26"/>
      <c r="G102" s="26"/>
      <c r="H102" s="26"/>
    </row>
    <row r="103" spans="4:8" x14ac:dyDescent="0.2">
      <c r="D103" s="26"/>
      <c r="E103" s="26"/>
      <c r="F103" s="26"/>
      <c r="G103" s="26"/>
      <c r="H103" s="26"/>
    </row>
    <row r="104" spans="4:8" x14ac:dyDescent="0.2">
      <c r="D104" s="26"/>
      <c r="E104" s="26"/>
      <c r="F104" s="26"/>
      <c r="G104" s="26"/>
      <c r="H104" s="26"/>
    </row>
    <row r="105" spans="4:8" x14ac:dyDescent="0.2">
      <c r="D105" s="26"/>
      <c r="E105" s="26"/>
      <c r="F105" s="26"/>
      <c r="G105" s="26"/>
      <c r="H105" s="26"/>
    </row>
    <row r="106" spans="4:8" x14ac:dyDescent="0.2">
      <c r="D106" s="26"/>
      <c r="E106" s="26"/>
      <c r="F106" s="26"/>
      <c r="G106" s="26"/>
      <c r="H106" s="26"/>
    </row>
    <row r="107" spans="4:8" x14ac:dyDescent="0.2">
      <c r="D107" s="26"/>
      <c r="E107" s="26"/>
      <c r="F107" s="26"/>
      <c r="G107" s="26"/>
      <c r="H107" s="26"/>
    </row>
    <row r="108" spans="4:8" x14ac:dyDescent="0.2">
      <c r="D108" s="26"/>
      <c r="E108" s="26"/>
      <c r="F108" s="26"/>
      <c r="G108" s="26"/>
      <c r="H108" s="26"/>
    </row>
    <row r="109" spans="4:8" x14ac:dyDescent="0.2">
      <c r="D109" s="26"/>
      <c r="E109" s="26"/>
      <c r="F109" s="26"/>
      <c r="G109" s="26"/>
      <c r="H109" s="26"/>
    </row>
    <row r="110" spans="4:8" x14ac:dyDescent="0.2">
      <c r="D110" s="26"/>
      <c r="E110" s="26"/>
      <c r="F110" s="26"/>
      <c r="G110" s="26"/>
      <c r="H110" s="26"/>
    </row>
    <row r="111" spans="4:8" x14ac:dyDescent="0.2">
      <c r="D111" s="26"/>
      <c r="E111" s="26"/>
      <c r="F111" s="26"/>
      <c r="G111" s="26"/>
      <c r="H111" s="26"/>
    </row>
    <row r="112" spans="4:8" x14ac:dyDescent="0.2">
      <c r="D112" s="26"/>
      <c r="E112" s="26"/>
      <c r="F112" s="26"/>
      <c r="G112" s="26"/>
      <c r="H112" s="26"/>
    </row>
    <row r="113" spans="4:8" x14ac:dyDescent="0.2">
      <c r="D113" s="26"/>
      <c r="E113" s="26"/>
      <c r="F113" s="26"/>
      <c r="G113" s="26"/>
      <c r="H113" s="26"/>
    </row>
    <row r="114" spans="4:8" x14ac:dyDescent="0.2">
      <c r="D114" s="26"/>
      <c r="E114" s="26"/>
      <c r="F114" s="26"/>
      <c r="G114" s="26"/>
      <c r="H114" s="26"/>
    </row>
    <row r="115" spans="4:8" x14ac:dyDescent="0.2">
      <c r="D115" s="26"/>
      <c r="E115" s="26"/>
      <c r="F115" s="26"/>
      <c r="G115" s="26"/>
      <c r="H115" s="26"/>
    </row>
    <row r="116" spans="4:8" x14ac:dyDescent="0.2">
      <c r="D116" s="26"/>
      <c r="E116" s="26"/>
      <c r="F116" s="26"/>
      <c r="G116" s="26"/>
      <c r="H116" s="26"/>
    </row>
    <row r="117" spans="4:8" x14ac:dyDescent="0.2">
      <c r="D117" s="26"/>
      <c r="E117" s="26"/>
      <c r="F117" s="26"/>
      <c r="G117" s="26"/>
      <c r="H117" s="26"/>
    </row>
    <row r="118" spans="4:8" x14ac:dyDescent="0.2">
      <c r="D118" s="26"/>
      <c r="E118" s="26"/>
      <c r="F118" s="26"/>
      <c r="G118" s="26"/>
      <c r="H118" s="26"/>
    </row>
    <row r="119" spans="4:8" x14ac:dyDescent="0.2">
      <c r="D119" s="26"/>
      <c r="E119" s="26"/>
      <c r="F119" s="26"/>
      <c r="G119" s="26"/>
      <c r="H119" s="26"/>
    </row>
    <row r="120" spans="4:8" x14ac:dyDescent="0.2">
      <c r="D120" s="26"/>
      <c r="E120" s="26"/>
      <c r="F120" s="26"/>
      <c r="G120" s="26"/>
      <c r="H120" s="26"/>
    </row>
    <row r="121" spans="4:8" x14ac:dyDescent="0.2">
      <c r="D121" s="26"/>
      <c r="E121" s="26"/>
      <c r="F121" s="26"/>
      <c r="G121" s="26"/>
      <c r="H121" s="26"/>
    </row>
    <row r="122" spans="4:8" x14ac:dyDescent="0.2">
      <c r="D122" s="26"/>
      <c r="E122" s="26"/>
      <c r="F122" s="26"/>
      <c r="G122" s="26"/>
      <c r="H122" s="26"/>
    </row>
    <row r="123" spans="4:8" x14ac:dyDescent="0.2">
      <c r="D123" s="26"/>
      <c r="E123" s="26"/>
      <c r="F123" s="26"/>
      <c r="G123" s="26"/>
      <c r="H123" s="26"/>
    </row>
    <row r="124" spans="4:8" x14ac:dyDescent="0.2">
      <c r="D124" s="26"/>
      <c r="E124" s="26"/>
      <c r="F124" s="26"/>
      <c r="G124" s="26"/>
      <c r="H124" s="26"/>
    </row>
    <row r="125" spans="4:8" x14ac:dyDescent="0.2">
      <c r="D125" s="26"/>
      <c r="E125" s="26"/>
      <c r="F125" s="26"/>
      <c r="G125" s="26"/>
      <c r="H125" s="26"/>
    </row>
    <row r="126" spans="4:8" x14ac:dyDescent="0.2">
      <c r="D126" s="26"/>
      <c r="E126" s="26"/>
      <c r="F126" s="26"/>
      <c r="G126" s="26"/>
      <c r="H126" s="26"/>
    </row>
    <row r="127" spans="4:8" x14ac:dyDescent="0.2">
      <c r="D127" s="26"/>
      <c r="E127" s="26"/>
      <c r="F127" s="26"/>
      <c r="G127" s="26"/>
      <c r="H127" s="26"/>
    </row>
    <row r="128" spans="4:8" x14ac:dyDescent="0.2">
      <c r="D128" s="26"/>
      <c r="E128" s="26"/>
      <c r="F128" s="26"/>
      <c r="G128" s="26"/>
      <c r="H128" s="26"/>
    </row>
    <row r="129" spans="4:8" x14ac:dyDescent="0.2">
      <c r="D129" s="26"/>
      <c r="E129" s="26"/>
      <c r="F129" s="26"/>
      <c r="G129" s="26"/>
      <c r="H129" s="26"/>
    </row>
    <row r="130" spans="4:8" x14ac:dyDescent="0.2">
      <c r="D130" s="26"/>
      <c r="E130" s="26"/>
      <c r="F130" s="26"/>
      <c r="G130" s="26"/>
      <c r="H130" s="26"/>
    </row>
    <row r="131" spans="4:8" x14ac:dyDescent="0.2">
      <c r="D131" s="26"/>
      <c r="E131" s="26"/>
      <c r="F131" s="26"/>
      <c r="G131" s="26"/>
      <c r="H131" s="26"/>
    </row>
    <row r="132" spans="4:8" x14ac:dyDescent="0.2">
      <c r="D132" s="26"/>
      <c r="E132" s="26"/>
      <c r="F132" s="26"/>
      <c r="G132" s="26"/>
      <c r="H132" s="26"/>
    </row>
    <row r="133" spans="4:8" x14ac:dyDescent="0.2">
      <c r="D133" s="26"/>
      <c r="E133" s="26"/>
      <c r="F133" s="26"/>
      <c r="G133" s="26"/>
      <c r="H133" s="26"/>
    </row>
    <row r="134" spans="4:8" x14ac:dyDescent="0.2">
      <c r="D134" s="26"/>
      <c r="E134" s="26"/>
      <c r="F134" s="26"/>
      <c r="G134" s="26"/>
      <c r="H134" s="26"/>
    </row>
    <row r="135" spans="4:8" x14ac:dyDescent="0.2">
      <c r="D135" s="26"/>
      <c r="E135" s="26"/>
      <c r="F135" s="26"/>
      <c r="G135" s="26"/>
      <c r="H135" s="26"/>
    </row>
    <row r="136" spans="4:8" x14ac:dyDescent="0.2">
      <c r="D136" s="26"/>
      <c r="E136" s="26"/>
      <c r="F136" s="26"/>
      <c r="G136" s="26"/>
      <c r="H136" s="26"/>
    </row>
    <row r="137" spans="4:8" x14ac:dyDescent="0.2">
      <c r="D137" s="26"/>
      <c r="E137" s="26"/>
      <c r="F137" s="26"/>
      <c r="G137" s="26"/>
      <c r="H137" s="26"/>
    </row>
    <row r="138" spans="4:8" x14ac:dyDescent="0.2">
      <c r="D138" s="26"/>
      <c r="E138" s="26"/>
      <c r="F138" s="26"/>
      <c r="G138" s="26"/>
      <c r="H138" s="26"/>
    </row>
    <row r="139" spans="4:8" x14ac:dyDescent="0.2">
      <c r="D139" s="26"/>
      <c r="E139" s="26"/>
      <c r="F139" s="26"/>
      <c r="G139" s="26"/>
      <c r="H139" s="26"/>
    </row>
    <row r="140" spans="4:8" x14ac:dyDescent="0.2">
      <c r="D140" s="26"/>
      <c r="E140" s="26"/>
      <c r="F140" s="26"/>
      <c r="G140" s="26"/>
      <c r="H140" s="26"/>
    </row>
    <row r="141" spans="4:8" x14ac:dyDescent="0.2">
      <c r="D141" s="26"/>
      <c r="E141" s="26"/>
      <c r="F141" s="26"/>
      <c r="G141" s="26"/>
      <c r="H141" s="26"/>
    </row>
    <row r="142" spans="4:8" x14ac:dyDescent="0.2">
      <c r="D142" s="26"/>
      <c r="E142" s="26"/>
      <c r="F142" s="26"/>
      <c r="G142" s="26"/>
      <c r="H142" s="26"/>
    </row>
    <row r="143" spans="4:8" x14ac:dyDescent="0.2">
      <c r="D143" s="26"/>
      <c r="E143" s="26"/>
      <c r="F143" s="26"/>
      <c r="G143" s="26"/>
      <c r="H143" s="26"/>
    </row>
    <row r="144" spans="4:8" x14ac:dyDescent="0.2">
      <c r="D144" s="26"/>
      <c r="E144" s="26"/>
      <c r="F144" s="26"/>
      <c r="G144" s="26"/>
      <c r="H144" s="26"/>
    </row>
    <row r="145" spans="4:8" x14ac:dyDescent="0.2">
      <c r="D145" s="26"/>
      <c r="E145" s="26"/>
      <c r="F145" s="26"/>
      <c r="G145" s="26"/>
      <c r="H145" s="26"/>
    </row>
    <row r="146" spans="4:8" x14ac:dyDescent="0.2">
      <c r="D146" s="26"/>
      <c r="E146" s="26"/>
      <c r="F146" s="26"/>
      <c r="G146" s="26"/>
      <c r="H146" s="26"/>
    </row>
    <row r="147" spans="4:8" x14ac:dyDescent="0.2">
      <c r="D147" s="26"/>
      <c r="E147" s="26"/>
      <c r="F147" s="26"/>
      <c r="G147" s="26"/>
      <c r="H147" s="26"/>
    </row>
    <row r="148" spans="4:8" x14ac:dyDescent="0.2">
      <c r="D148" s="26"/>
      <c r="E148" s="26"/>
      <c r="F148" s="26"/>
      <c r="G148" s="26"/>
      <c r="H148" s="26"/>
    </row>
    <row r="149" spans="4:8" x14ac:dyDescent="0.2">
      <c r="D149" s="26"/>
      <c r="E149" s="26"/>
      <c r="F149" s="26"/>
      <c r="G149" s="26"/>
      <c r="H149" s="26"/>
    </row>
    <row r="150" spans="4:8" x14ac:dyDescent="0.2">
      <c r="D150" s="26"/>
      <c r="E150" s="26"/>
      <c r="F150" s="26"/>
      <c r="G150" s="26"/>
      <c r="H150" s="26"/>
    </row>
    <row r="151" spans="4:8" x14ac:dyDescent="0.2">
      <c r="D151" s="26"/>
      <c r="E151" s="26"/>
      <c r="F151" s="26"/>
      <c r="G151" s="26"/>
      <c r="H151" s="26"/>
    </row>
    <row r="152" spans="4:8" x14ac:dyDescent="0.2">
      <c r="D152" s="26"/>
      <c r="E152" s="26"/>
      <c r="F152" s="26"/>
      <c r="G152" s="26"/>
      <c r="H152" s="26"/>
    </row>
    <row r="153" spans="4:8" x14ac:dyDescent="0.2">
      <c r="D153" s="26"/>
      <c r="E153" s="26"/>
      <c r="F153" s="26"/>
      <c r="G153" s="26"/>
      <c r="H153" s="26"/>
    </row>
    <row r="154" spans="4:8" x14ac:dyDescent="0.2">
      <c r="D154" s="26"/>
      <c r="E154" s="26"/>
      <c r="F154" s="26"/>
      <c r="G154" s="26"/>
      <c r="H154" s="26"/>
    </row>
    <row r="155" spans="4:8" x14ac:dyDescent="0.2">
      <c r="D155" s="26"/>
      <c r="E155" s="26"/>
      <c r="F155" s="26"/>
      <c r="G155" s="26"/>
      <c r="H155" s="26"/>
    </row>
    <row r="156" spans="4:8" x14ac:dyDescent="0.2">
      <c r="D156" s="26"/>
      <c r="E156" s="26"/>
      <c r="F156" s="26"/>
      <c r="G156" s="26"/>
      <c r="H156" s="26"/>
    </row>
    <row r="157" spans="4:8" x14ac:dyDescent="0.2">
      <c r="D157" s="26"/>
      <c r="E157" s="26"/>
      <c r="F157" s="26"/>
      <c r="G157" s="26"/>
      <c r="H157" s="26"/>
    </row>
    <row r="158" spans="4:8" x14ac:dyDescent="0.2">
      <c r="D158" s="26"/>
      <c r="E158" s="26"/>
      <c r="F158" s="26"/>
      <c r="G158" s="26"/>
      <c r="H158" s="26"/>
    </row>
    <row r="159" spans="4:8" x14ac:dyDescent="0.2">
      <c r="D159" s="26"/>
      <c r="E159" s="26"/>
      <c r="F159" s="26"/>
      <c r="G159" s="26"/>
      <c r="H159" s="26"/>
    </row>
    <row r="160" spans="4:8" x14ac:dyDescent="0.2">
      <c r="D160" s="26"/>
      <c r="E160" s="26"/>
      <c r="F160" s="26"/>
      <c r="G160" s="26"/>
      <c r="H160" s="26"/>
    </row>
    <row r="161" spans="4:8" x14ac:dyDescent="0.2">
      <c r="D161" s="26"/>
      <c r="E161" s="26"/>
      <c r="F161" s="26"/>
      <c r="G161" s="26"/>
      <c r="H161" s="26"/>
    </row>
    <row r="162" spans="4:8" x14ac:dyDescent="0.2">
      <c r="D162" s="26"/>
      <c r="E162" s="26"/>
      <c r="F162" s="26"/>
      <c r="G162" s="26"/>
      <c r="H162" s="26"/>
    </row>
    <row r="163" spans="4:8" x14ac:dyDescent="0.2">
      <c r="D163" s="26"/>
      <c r="E163" s="26"/>
      <c r="F163" s="26"/>
      <c r="G163" s="26"/>
      <c r="H163" s="26"/>
    </row>
    <row r="164" spans="4:8" x14ac:dyDescent="0.2">
      <c r="D164" s="26"/>
      <c r="E164" s="26"/>
      <c r="F164" s="26"/>
      <c r="G164" s="26"/>
      <c r="H164" s="26"/>
    </row>
    <row r="165" spans="4:8" x14ac:dyDescent="0.2">
      <c r="D165" s="26"/>
      <c r="E165" s="26"/>
      <c r="F165" s="26"/>
      <c r="G165" s="26"/>
      <c r="H165" s="26"/>
    </row>
    <row r="166" spans="4:8" x14ac:dyDescent="0.2">
      <c r="D166" s="26"/>
      <c r="E166" s="26"/>
      <c r="F166" s="26"/>
      <c r="G166" s="26"/>
      <c r="H166" s="26"/>
    </row>
    <row r="167" spans="4:8" x14ac:dyDescent="0.2">
      <c r="D167" s="26"/>
      <c r="E167" s="26"/>
      <c r="F167" s="26"/>
      <c r="G167" s="26"/>
      <c r="H167" s="26"/>
    </row>
    <row r="168" spans="4:8" x14ac:dyDescent="0.2">
      <c r="D168" s="26"/>
      <c r="E168" s="26"/>
      <c r="F168" s="26"/>
      <c r="G168" s="26"/>
      <c r="H168" s="26"/>
    </row>
    <row r="169" spans="4:8" x14ac:dyDescent="0.2">
      <c r="D169" s="26"/>
      <c r="E169" s="26"/>
      <c r="F169" s="26"/>
      <c r="G169" s="26"/>
      <c r="H169" s="26"/>
    </row>
    <row r="170" spans="4:8" x14ac:dyDescent="0.2">
      <c r="D170" s="26"/>
      <c r="E170" s="26"/>
      <c r="F170" s="26"/>
      <c r="G170" s="26"/>
      <c r="H170" s="26"/>
    </row>
    <row r="171" spans="4:8" x14ac:dyDescent="0.2">
      <c r="D171" s="26"/>
      <c r="E171" s="26"/>
      <c r="F171" s="26"/>
      <c r="G171" s="26"/>
      <c r="H171" s="26"/>
    </row>
    <row r="172" spans="4:8" x14ac:dyDescent="0.2">
      <c r="D172" s="26"/>
      <c r="E172" s="26"/>
      <c r="F172" s="26"/>
      <c r="G172" s="26"/>
      <c r="H172" s="26"/>
    </row>
    <row r="173" spans="4:8" x14ac:dyDescent="0.2">
      <c r="D173" s="26"/>
      <c r="E173" s="26"/>
      <c r="F173" s="26"/>
      <c r="G173" s="26"/>
      <c r="H173" s="26"/>
    </row>
    <row r="174" spans="4:8" x14ac:dyDescent="0.2">
      <c r="D174" s="26"/>
      <c r="E174" s="26"/>
      <c r="F174" s="26"/>
      <c r="G174" s="26"/>
      <c r="H174" s="26"/>
    </row>
    <row r="175" spans="4:8" x14ac:dyDescent="0.2">
      <c r="D175" s="26"/>
      <c r="E175" s="26"/>
      <c r="F175" s="26"/>
      <c r="G175" s="26"/>
      <c r="H175" s="26"/>
    </row>
    <row r="176" spans="4:8" x14ac:dyDescent="0.2">
      <c r="D176" s="26"/>
      <c r="E176" s="26"/>
      <c r="F176" s="26"/>
      <c r="G176" s="26"/>
      <c r="H176" s="26"/>
    </row>
    <row r="177" spans="4:8" x14ac:dyDescent="0.2">
      <c r="D177" s="26"/>
      <c r="E177" s="26"/>
      <c r="F177" s="26"/>
      <c r="G177" s="26"/>
      <c r="H177" s="26"/>
    </row>
    <row r="178" spans="4:8" x14ac:dyDescent="0.2">
      <c r="D178" s="26"/>
      <c r="E178" s="26"/>
      <c r="F178" s="26"/>
      <c r="G178" s="26"/>
      <c r="H178" s="26"/>
    </row>
    <row r="179" spans="4:8" x14ac:dyDescent="0.2">
      <c r="D179" s="26"/>
      <c r="E179" s="26"/>
      <c r="F179" s="26"/>
      <c r="G179" s="26"/>
      <c r="H179" s="26"/>
    </row>
    <row r="180" spans="4:8" x14ac:dyDescent="0.2">
      <c r="D180" s="26"/>
      <c r="E180" s="26"/>
      <c r="F180" s="26"/>
      <c r="G180" s="26"/>
      <c r="H180" s="26"/>
    </row>
    <row r="181" spans="4:8" x14ac:dyDescent="0.2">
      <c r="D181" s="26"/>
      <c r="E181" s="26"/>
      <c r="F181" s="26"/>
      <c r="G181" s="26"/>
      <c r="H181" s="26"/>
    </row>
    <row r="182" spans="4:8" x14ac:dyDescent="0.2">
      <c r="D182" s="26"/>
      <c r="E182" s="26"/>
      <c r="F182" s="26"/>
      <c r="G182" s="26"/>
      <c r="H182" s="26"/>
    </row>
    <row r="183" spans="4:8" x14ac:dyDescent="0.2">
      <c r="D183" s="26"/>
      <c r="E183" s="26"/>
      <c r="F183" s="26"/>
      <c r="G183" s="26"/>
      <c r="H183" s="26"/>
    </row>
    <row r="184" spans="4:8" x14ac:dyDescent="0.2">
      <c r="D184" s="26"/>
      <c r="E184" s="26"/>
      <c r="F184" s="26"/>
      <c r="G184" s="26"/>
      <c r="H184" s="26"/>
    </row>
    <row r="185" spans="4:8" x14ac:dyDescent="0.2">
      <c r="D185" s="26"/>
      <c r="E185" s="26"/>
      <c r="F185" s="26"/>
      <c r="G185" s="26"/>
      <c r="H185" s="26"/>
    </row>
    <row r="186" spans="4:8" x14ac:dyDescent="0.2">
      <c r="D186" s="26"/>
      <c r="E186" s="26"/>
      <c r="F186" s="26"/>
      <c r="G186" s="26"/>
      <c r="H186" s="26"/>
    </row>
    <row r="187" spans="4:8" x14ac:dyDescent="0.2">
      <c r="D187" s="26"/>
      <c r="E187" s="26"/>
      <c r="F187" s="26"/>
      <c r="G187" s="26"/>
      <c r="H187" s="26"/>
    </row>
    <row r="188" spans="4:8" x14ac:dyDescent="0.2">
      <c r="D188" s="26"/>
      <c r="E188" s="26"/>
      <c r="F188" s="26"/>
      <c r="G188" s="26"/>
      <c r="H188" s="26"/>
    </row>
    <row r="189" spans="4:8" x14ac:dyDescent="0.2">
      <c r="D189" s="26"/>
      <c r="E189" s="26"/>
      <c r="F189" s="26"/>
      <c r="G189" s="26"/>
      <c r="H189" s="26"/>
    </row>
    <row r="190" spans="4:8" x14ac:dyDescent="0.2">
      <c r="D190" s="26"/>
      <c r="E190" s="26"/>
      <c r="F190" s="26"/>
      <c r="G190" s="26"/>
      <c r="H190" s="26"/>
    </row>
    <row r="191" spans="4:8" x14ac:dyDescent="0.2">
      <c r="D191" s="26"/>
      <c r="E191" s="26"/>
      <c r="F191" s="26"/>
      <c r="G191" s="26"/>
      <c r="H191" s="26"/>
    </row>
    <row r="192" spans="4:8" x14ac:dyDescent="0.2">
      <c r="D192" s="26"/>
      <c r="E192" s="26"/>
      <c r="F192" s="26"/>
      <c r="G192" s="26"/>
      <c r="H192" s="26"/>
    </row>
    <row r="193" spans="4:8" x14ac:dyDescent="0.2">
      <c r="D193" s="26"/>
      <c r="E193" s="26"/>
      <c r="F193" s="26"/>
      <c r="G193" s="26"/>
      <c r="H193" s="26"/>
    </row>
    <row r="194" spans="4:8" x14ac:dyDescent="0.2">
      <c r="D194" s="26"/>
      <c r="E194" s="26"/>
      <c r="F194" s="26"/>
      <c r="G194" s="26"/>
      <c r="H194" s="26"/>
    </row>
    <row r="195" spans="4:8" x14ac:dyDescent="0.2">
      <c r="D195" s="26"/>
      <c r="E195" s="26"/>
      <c r="F195" s="26"/>
      <c r="G195" s="26"/>
      <c r="H195" s="26"/>
    </row>
    <row r="196" spans="4:8" x14ac:dyDescent="0.2">
      <c r="D196" s="26"/>
      <c r="E196" s="26"/>
      <c r="F196" s="26"/>
      <c r="G196" s="26"/>
      <c r="H196" s="26"/>
    </row>
    <row r="197" spans="4:8" x14ac:dyDescent="0.2">
      <c r="D197" s="26"/>
      <c r="E197" s="26"/>
      <c r="F197" s="26"/>
      <c r="G197" s="26"/>
      <c r="H197" s="26"/>
    </row>
    <row r="198" spans="4:8" x14ac:dyDescent="0.2">
      <c r="D198" s="26"/>
      <c r="E198" s="26"/>
      <c r="F198" s="26"/>
      <c r="G198" s="26"/>
      <c r="H198" s="26"/>
    </row>
    <row r="199" spans="4:8" x14ac:dyDescent="0.2">
      <c r="D199" s="26"/>
      <c r="E199" s="26"/>
      <c r="F199" s="26"/>
      <c r="G199" s="26"/>
      <c r="H199" s="26"/>
    </row>
    <row r="200" spans="4:8" x14ac:dyDescent="0.2">
      <c r="D200" s="26"/>
      <c r="E200" s="26"/>
      <c r="F200" s="26"/>
      <c r="G200" s="26"/>
      <c r="H200" s="26"/>
    </row>
    <row r="201" spans="4:8" x14ac:dyDescent="0.2">
      <c r="D201" s="26"/>
      <c r="E201" s="26"/>
      <c r="F201" s="26"/>
      <c r="G201" s="26"/>
      <c r="H201" s="26"/>
    </row>
    <row r="202" spans="4:8" x14ac:dyDescent="0.2">
      <c r="D202" s="26"/>
      <c r="E202" s="26"/>
      <c r="F202" s="26"/>
      <c r="G202" s="26"/>
      <c r="H202" s="26"/>
    </row>
    <row r="203" spans="4:8" x14ac:dyDescent="0.2">
      <c r="D203" s="26"/>
      <c r="E203" s="26"/>
      <c r="F203" s="26"/>
      <c r="G203" s="26"/>
      <c r="H203" s="26"/>
    </row>
    <row r="204" spans="4:8" x14ac:dyDescent="0.2">
      <c r="D204" s="26"/>
      <c r="E204" s="26"/>
      <c r="F204" s="26"/>
      <c r="G204" s="26"/>
      <c r="H204" s="26"/>
    </row>
    <row r="205" spans="4:8" x14ac:dyDescent="0.2">
      <c r="D205" s="26"/>
      <c r="E205" s="26"/>
      <c r="F205" s="26"/>
      <c r="G205" s="26"/>
      <c r="H205" s="26"/>
    </row>
    <row r="206" spans="4:8" x14ac:dyDescent="0.2">
      <c r="D206" s="26"/>
      <c r="E206" s="26"/>
      <c r="F206" s="26"/>
      <c r="G206" s="26"/>
      <c r="H206" s="26"/>
    </row>
    <row r="207" spans="4:8" x14ac:dyDescent="0.2">
      <c r="D207" s="26"/>
      <c r="E207" s="26"/>
      <c r="F207" s="26"/>
      <c r="G207" s="26"/>
      <c r="H207" s="26"/>
    </row>
    <row r="208" spans="4:8" x14ac:dyDescent="0.2">
      <c r="D208" s="26"/>
      <c r="E208" s="26"/>
      <c r="F208" s="26"/>
      <c r="G208" s="26"/>
      <c r="H208" s="26"/>
    </row>
    <row r="209" spans="4:8" x14ac:dyDescent="0.2">
      <c r="D209" s="26"/>
      <c r="E209" s="26"/>
      <c r="F209" s="26"/>
      <c r="G209" s="26"/>
      <c r="H209" s="26"/>
    </row>
    <row r="210" spans="4:8" x14ac:dyDescent="0.2">
      <c r="D210" s="26"/>
      <c r="E210" s="26"/>
      <c r="F210" s="26"/>
      <c r="G210" s="26"/>
      <c r="H210" s="26"/>
    </row>
    <row r="211" spans="4:8" x14ac:dyDescent="0.2">
      <c r="D211" s="26"/>
      <c r="E211" s="26"/>
      <c r="F211" s="26"/>
      <c r="G211" s="26"/>
      <c r="H211" s="26"/>
    </row>
    <row r="212" spans="4:8" x14ac:dyDescent="0.2">
      <c r="D212" s="26"/>
      <c r="E212" s="26"/>
      <c r="F212" s="26"/>
      <c r="G212" s="26"/>
      <c r="H212" s="26"/>
    </row>
    <row r="213" spans="4:8" x14ac:dyDescent="0.2">
      <c r="D213" s="26"/>
      <c r="E213" s="26"/>
      <c r="F213" s="26"/>
      <c r="G213" s="26"/>
      <c r="H213" s="26"/>
    </row>
    <row r="214" spans="4:8" x14ac:dyDescent="0.2">
      <c r="D214" s="26"/>
      <c r="E214" s="26"/>
      <c r="F214" s="26"/>
      <c r="G214" s="26"/>
      <c r="H214" s="26"/>
    </row>
    <row r="215" spans="4:8" x14ac:dyDescent="0.2">
      <c r="D215" s="26"/>
      <c r="E215" s="26"/>
      <c r="F215" s="26"/>
      <c r="G215" s="26"/>
      <c r="H215" s="26"/>
    </row>
    <row r="216" spans="4:8" x14ac:dyDescent="0.2">
      <c r="D216" s="26"/>
      <c r="E216" s="26"/>
      <c r="F216" s="26"/>
      <c r="G216" s="26"/>
      <c r="H216" s="26"/>
    </row>
    <row r="217" spans="4:8" x14ac:dyDescent="0.2">
      <c r="D217" s="26"/>
      <c r="E217" s="26"/>
      <c r="F217" s="26"/>
      <c r="G217" s="26"/>
      <c r="H217" s="26"/>
    </row>
    <row r="218" spans="4:8" x14ac:dyDescent="0.2">
      <c r="D218" s="26"/>
      <c r="E218" s="26"/>
      <c r="F218" s="26"/>
      <c r="G218" s="26"/>
      <c r="H218" s="26"/>
    </row>
    <row r="219" spans="4:8" x14ac:dyDescent="0.2">
      <c r="D219" s="26"/>
      <c r="E219" s="26"/>
      <c r="F219" s="26"/>
      <c r="G219" s="26"/>
      <c r="H219" s="26"/>
    </row>
    <row r="220" spans="4:8" x14ac:dyDescent="0.2">
      <c r="D220" s="26"/>
      <c r="E220" s="26"/>
      <c r="F220" s="26"/>
      <c r="G220" s="26"/>
      <c r="H220" s="26"/>
    </row>
    <row r="221" spans="4:8" x14ac:dyDescent="0.2">
      <c r="D221" s="26"/>
      <c r="E221" s="26"/>
      <c r="F221" s="26"/>
      <c r="G221" s="26"/>
      <c r="H221" s="26"/>
    </row>
    <row r="222" spans="4:8" x14ac:dyDescent="0.2">
      <c r="D222" s="26"/>
      <c r="E222" s="26"/>
      <c r="F222" s="26"/>
      <c r="G222" s="26"/>
      <c r="H222" s="26"/>
    </row>
    <row r="223" spans="4:8" x14ac:dyDescent="0.2">
      <c r="D223" s="26"/>
      <c r="E223" s="26"/>
      <c r="F223" s="26"/>
      <c r="G223" s="26"/>
      <c r="H223" s="26"/>
    </row>
    <row r="224" spans="4:8" x14ac:dyDescent="0.2">
      <c r="D224" s="26"/>
      <c r="E224" s="26"/>
      <c r="F224" s="26"/>
      <c r="G224" s="26"/>
      <c r="H224" s="26"/>
    </row>
    <row r="225" spans="4:8" x14ac:dyDescent="0.2">
      <c r="D225" s="26"/>
      <c r="E225" s="26"/>
      <c r="F225" s="26"/>
      <c r="G225" s="26"/>
      <c r="H225" s="26"/>
    </row>
    <row r="226" spans="4:8" x14ac:dyDescent="0.2">
      <c r="D226" s="26"/>
      <c r="E226" s="26"/>
      <c r="F226" s="26"/>
      <c r="G226" s="26"/>
      <c r="H226" s="26"/>
    </row>
    <row r="227" spans="4:8" x14ac:dyDescent="0.2">
      <c r="D227" s="26"/>
      <c r="E227" s="26"/>
      <c r="F227" s="26"/>
      <c r="G227" s="26"/>
      <c r="H227" s="26"/>
    </row>
    <row r="228" spans="4:8" x14ac:dyDescent="0.2">
      <c r="D228" s="26"/>
      <c r="E228" s="26"/>
      <c r="F228" s="26"/>
      <c r="G228" s="26"/>
      <c r="H228" s="26"/>
    </row>
    <row r="229" spans="4:8" x14ac:dyDescent="0.2">
      <c r="D229" s="26"/>
      <c r="E229" s="26"/>
      <c r="F229" s="26"/>
      <c r="G229" s="26"/>
      <c r="H229" s="26"/>
    </row>
    <row r="230" spans="4:8" x14ac:dyDescent="0.2">
      <c r="D230" s="26"/>
      <c r="E230" s="26"/>
      <c r="F230" s="26"/>
      <c r="G230" s="26"/>
      <c r="H230" s="26"/>
    </row>
    <row r="231" spans="4:8" x14ac:dyDescent="0.2">
      <c r="D231" s="26"/>
      <c r="E231" s="26"/>
      <c r="F231" s="26"/>
      <c r="G231" s="26"/>
      <c r="H231" s="26"/>
    </row>
    <row r="232" spans="4:8" x14ac:dyDescent="0.2">
      <c r="D232" s="26"/>
      <c r="E232" s="26"/>
      <c r="F232" s="26"/>
      <c r="G232" s="26"/>
      <c r="H232" s="26"/>
    </row>
    <row r="233" spans="4:8" x14ac:dyDescent="0.2">
      <c r="D233" s="26"/>
      <c r="E233" s="26"/>
      <c r="F233" s="26"/>
      <c r="G233" s="26"/>
      <c r="H233" s="26"/>
    </row>
    <row r="234" spans="4:8" x14ac:dyDescent="0.2">
      <c r="D234" s="26"/>
      <c r="E234" s="26"/>
      <c r="F234" s="26"/>
      <c r="G234" s="26"/>
      <c r="H234" s="26"/>
    </row>
    <row r="235" spans="4:8" x14ac:dyDescent="0.2">
      <c r="D235" s="26"/>
      <c r="E235" s="26"/>
      <c r="F235" s="26"/>
      <c r="G235" s="26"/>
      <c r="H235" s="26"/>
    </row>
    <row r="236" spans="4:8" x14ac:dyDescent="0.2">
      <c r="D236" s="26"/>
      <c r="E236" s="26"/>
      <c r="F236" s="26"/>
      <c r="G236" s="26"/>
      <c r="H236" s="26"/>
    </row>
    <row r="237" spans="4:8" x14ac:dyDescent="0.2">
      <c r="D237" s="26"/>
      <c r="E237" s="26"/>
      <c r="F237" s="26"/>
      <c r="G237" s="26"/>
      <c r="H237" s="26"/>
    </row>
    <row r="238" spans="4:8" x14ac:dyDescent="0.2">
      <c r="D238" s="26"/>
      <c r="E238" s="26"/>
      <c r="F238" s="26"/>
      <c r="G238" s="26"/>
      <c r="H238" s="26"/>
    </row>
    <row r="239" spans="4:8" x14ac:dyDescent="0.2">
      <c r="D239" s="26"/>
      <c r="E239" s="26"/>
      <c r="F239" s="26"/>
      <c r="G239" s="26"/>
      <c r="H239" s="26"/>
    </row>
    <row r="240" spans="4:8" x14ac:dyDescent="0.2">
      <c r="D240" s="26"/>
      <c r="E240" s="26"/>
      <c r="F240" s="26"/>
      <c r="G240" s="26"/>
      <c r="H240" s="26"/>
    </row>
    <row r="241" spans="4:8" x14ac:dyDescent="0.2">
      <c r="D241" s="26"/>
      <c r="E241" s="26"/>
      <c r="F241" s="26"/>
      <c r="G241" s="26"/>
      <c r="H241" s="26"/>
    </row>
    <row r="242" spans="4:8" x14ac:dyDescent="0.2">
      <c r="D242" s="26"/>
      <c r="E242" s="26"/>
      <c r="F242" s="26"/>
      <c r="G242" s="26"/>
      <c r="H242" s="26"/>
    </row>
    <row r="243" spans="4:8" x14ac:dyDescent="0.2">
      <c r="D243" s="26"/>
      <c r="E243" s="26"/>
      <c r="F243" s="26"/>
      <c r="G243" s="26"/>
      <c r="H243" s="26"/>
    </row>
    <row r="244" spans="4:8" x14ac:dyDescent="0.2">
      <c r="D244" s="26"/>
      <c r="E244" s="26"/>
      <c r="F244" s="26"/>
      <c r="G244" s="26"/>
      <c r="H244" s="26"/>
    </row>
    <row r="245" spans="4:8" x14ac:dyDescent="0.2">
      <c r="D245" s="26"/>
      <c r="E245" s="26"/>
      <c r="F245" s="26"/>
      <c r="G245" s="26"/>
      <c r="H245" s="26"/>
    </row>
    <row r="246" spans="4:8" x14ac:dyDescent="0.2">
      <c r="D246" s="26"/>
      <c r="E246" s="26"/>
      <c r="F246" s="26"/>
      <c r="G246" s="26"/>
      <c r="H246" s="26"/>
    </row>
    <row r="247" spans="4:8" x14ac:dyDescent="0.2">
      <c r="D247" s="26"/>
      <c r="E247" s="26"/>
      <c r="F247" s="26"/>
      <c r="G247" s="26"/>
      <c r="H247" s="26"/>
    </row>
    <row r="248" spans="4:8" x14ac:dyDescent="0.2">
      <c r="D248" s="26"/>
      <c r="E248" s="26"/>
      <c r="F248" s="26"/>
      <c r="G248" s="26"/>
      <c r="H248" s="26"/>
    </row>
    <row r="249" spans="4:8" x14ac:dyDescent="0.2">
      <c r="D249" s="26"/>
      <c r="E249" s="26"/>
      <c r="F249" s="26"/>
      <c r="G249" s="26"/>
      <c r="H249" s="26"/>
    </row>
    <row r="250" spans="4:8" x14ac:dyDescent="0.2">
      <c r="D250" s="26"/>
      <c r="E250" s="26"/>
      <c r="F250" s="26"/>
      <c r="G250" s="26"/>
      <c r="H250" s="26"/>
    </row>
    <row r="251" spans="4:8" x14ac:dyDescent="0.2">
      <c r="D251" s="26"/>
      <c r="E251" s="26"/>
      <c r="F251" s="26"/>
      <c r="G251" s="26"/>
      <c r="H251" s="26"/>
    </row>
    <row r="252" spans="4:8" x14ac:dyDescent="0.2">
      <c r="D252" s="26"/>
      <c r="E252" s="26"/>
      <c r="F252" s="26"/>
      <c r="G252" s="26"/>
      <c r="H252" s="26"/>
    </row>
    <row r="253" spans="4:8" x14ac:dyDescent="0.2">
      <c r="D253" s="26"/>
      <c r="E253" s="26"/>
      <c r="F253" s="26"/>
      <c r="G253" s="26"/>
      <c r="H253" s="26"/>
    </row>
    <row r="254" spans="4:8" x14ac:dyDescent="0.2">
      <c r="D254" s="26"/>
      <c r="E254" s="26"/>
      <c r="F254" s="26"/>
      <c r="G254" s="26"/>
      <c r="H254" s="26"/>
    </row>
    <row r="255" spans="4:8" x14ac:dyDescent="0.2">
      <c r="D255" s="26"/>
      <c r="E255" s="26"/>
      <c r="F255" s="26"/>
      <c r="G255" s="26"/>
      <c r="H255" s="26"/>
    </row>
    <row r="256" spans="4:8" x14ac:dyDescent="0.2">
      <c r="D256" s="26"/>
      <c r="E256" s="26"/>
      <c r="F256" s="26"/>
      <c r="G256" s="26"/>
      <c r="H256" s="26"/>
    </row>
    <row r="257" spans="4:8" x14ac:dyDescent="0.2">
      <c r="D257" s="26"/>
      <c r="E257" s="26"/>
      <c r="F257" s="26"/>
      <c r="G257" s="26"/>
      <c r="H257" s="26"/>
    </row>
    <row r="258" spans="4:8" x14ac:dyDescent="0.2">
      <c r="D258" s="26"/>
      <c r="E258" s="26"/>
      <c r="F258" s="26"/>
      <c r="G258" s="26"/>
      <c r="H258" s="26"/>
    </row>
    <row r="259" spans="4:8" x14ac:dyDescent="0.2">
      <c r="D259" s="26"/>
      <c r="E259" s="26"/>
      <c r="F259" s="26"/>
      <c r="G259" s="26"/>
      <c r="H259" s="26"/>
    </row>
    <row r="260" spans="4:8" x14ac:dyDescent="0.2">
      <c r="D260" s="26"/>
      <c r="E260" s="26"/>
      <c r="F260" s="26"/>
      <c r="G260" s="26"/>
      <c r="H260" s="26"/>
    </row>
    <row r="261" spans="4:8" x14ac:dyDescent="0.2">
      <c r="D261" s="26"/>
      <c r="E261" s="26"/>
      <c r="F261" s="26"/>
      <c r="G261" s="26"/>
      <c r="H261" s="26"/>
    </row>
    <row r="262" spans="4:8" x14ac:dyDescent="0.2">
      <c r="D262" s="26"/>
      <c r="E262" s="26"/>
      <c r="F262" s="26"/>
      <c r="G262" s="26"/>
      <c r="H262" s="26"/>
    </row>
    <row r="263" spans="4:8" x14ac:dyDescent="0.2">
      <c r="D263" s="26"/>
      <c r="E263" s="26"/>
      <c r="F263" s="26"/>
      <c r="G263" s="26"/>
      <c r="H263" s="26"/>
    </row>
    <row r="264" spans="4:8" x14ac:dyDescent="0.2">
      <c r="D264" s="26"/>
      <c r="E264" s="26"/>
      <c r="F264" s="26"/>
      <c r="G264" s="26"/>
      <c r="H264" s="26"/>
    </row>
    <row r="265" spans="4:8" x14ac:dyDescent="0.2">
      <c r="D265" s="26"/>
      <c r="E265" s="26"/>
      <c r="F265" s="26"/>
      <c r="G265" s="26"/>
      <c r="H265" s="26"/>
    </row>
    <row r="266" spans="4:8" x14ac:dyDescent="0.2">
      <c r="D266" s="26"/>
      <c r="E266" s="26"/>
      <c r="F266" s="26"/>
      <c r="G266" s="26"/>
      <c r="H266" s="26"/>
    </row>
    <row r="267" spans="4:8" x14ac:dyDescent="0.2">
      <c r="D267" s="26"/>
      <c r="E267" s="26"/>
      <c r="F267" s="26"/>
      <c r="G267" s="26"/>
      <c r="H267" s="26"/>
    </row>
    <row r="268" spans="4:8" x14ac:dyDescent="0.2">
      <c r="D268" s="26"/>
      <c r="E268" s="26"/>
      <c r="F268" s="26"/>
      <c r="G268" s="26"/>
      <c r="H268" s="26"/>
    </row>
    <row r="269" spans="4:8" x14ac:dyDescent="0.2">
      <c r="D269" s="26"/>
      <c r="E269" s="26"/>
      <c r="F269" s="26"/>
      <c r="G269" s="26"/>
      <c r="H269" s="26"/>
    </row>
  </sheetData>
  <mergeCells count="1">
    <mergeCell ref="D73:F73"/>
  </mergeCells>
  <phoneticPr fontId="3"/>
  <pageMargins left="0.75" right="0.75" top="1" bottom="1" header="0.51200000000000001" footer="0.51200000000000001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279"/>
  <sheetViews>
    <sheetView showGridLines="0" topLeftCell="A4" zoomScaleNormal="100" workbookViewId="0">
      <selection activeCell="Q44" sqref="Q44"/>
    </sheetView>
  </sheetViews>
  <sheetFormatPr defaultColWidth="9" defaultRowHeight="12" outlineLevelRow="1" outlineLevelCol="1" x14ac:dyDescent="0.2"/>
  <cols>
    <col min="1" max="1" width="2" style="1" customWidth="1"/>
    <col min="2" max="2" width="27.28515625" style="1" customWidth="1"/>
    <col min="3" max="3" width="1.42578125" style="2" customWidth="1"/>
    <col min="4" max="4" width="8" style="1" customWidth="1"/>
    <col min="5" max="7" width="8.7109375" style="1" bestFit="1" customWidth="1"/>
    <col min="8" max="8" width="8.5703125" style="1" customWidth="1"/>
    <col min="9" max="9" width="1.28515625" style="2" customWidth="1"/>
    <col min="10" max="10" width="9.28515625" style="1" hidden="1" customWidth="1" outlineLevel="1"/>
    <col min="11" max="14" width="8.28515625" style="1" hidden="1" customWidth="1" outlineLevel="1"/>
    <col min="15" max="15" width="2.28515625" style="1" hidden="1" customWidth="1" outlineLevel="1"/>
    <col min="16" max="16" width="11.85546875" style="1" bestFit="1" customWidth="1" collapsed="1"/>
    <col min="17" max="17" width="7.28515625" style="1" customWidth="1"/>
    <col min="18" max="18" width="7.28515625" style="1" bestFit="1" customWidth="1"/>
    <col min="19" max="20" width="7.42578125" style="1" bestFit="1" customWidth="1"/>
    <col min="21" max="21" width="6.5703125" style="1" customWidth="1"/>
    <col min="22" max="22" width="7.28515625" style="1" bestFit="1" customWidth="1"/>
    <col min="23" max="23" width="1" style="1" customWidth="1"/>
    <col min="24" max="27" width="7" style="1" hidden="1" customWidth="1" outlineLevel="1"/>
    <col min="28" max="28" width="6.7109375" style="1" hidden="1" customWidth="1" outlineLevel="1"/>
    <col min="29" max="29" width="6.28515625" style="1" customWidth="1" collapsed="1"/>
    <col min="30" max="16384" width="9" style="1"/>
  </cols>
  <sheetData>
    <row r="1" spans="1:30" x14ac:dyDescent="0.2">
      <c r="A1" s="2" t="str">
        <f>'Historical Data Input'!A1</f>
        <v>企業名</v>
      </c>
      <c r="D1" s="3" t="str">
        <f>'Historical Data Input'!D1</f>
        <v>通貨</v>
      </c>
      <c r="E1" s="3" t="str">
        <f>'Historical Data Input'!E1</f>
        <v>ドル</v>
      </c>
      <c r="F1" s="3"/>
      <c r="G1" s="3"/>
      <c r="I1" s="3"/>
    </row>
    <row r="2" spans="1:30" ht="14.25" x14ac:dyDescent="0.2">
      <c r="A2" s="52" t="str">
        <f>'Historical Data Input'!A2</f>
        <v>ナイキ</v>
      </c>
      <c r="B2" s="2"/>
      <c r="D2" s="3" t="str">
        <f>'Historical Data Input'!D2</f>
        <v>単位</v>
      </c>
      <c r="E2" s="3" t="str">
        <f>'Historical Data Input'!E2</f>
        <v>百万</v>
      </c>
      <c r="F2" s="3"/>
      <c r="G2" s="3"/>
      <c r="I2" s="3"/>
      <c r="N2" s="3"/>
    </row>
    <row r="3" spans="1:30" s="4" customFormat="1" ht="15" x14ac:dyDescent="0.25">
      <c r="B3" s="5"/>
      <c r="C3" s="6"/>
      <c r="D3" s="7"/>
      <c r="H3" s="7"/>
      <c r="I3" s="8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</row>
    <row r="4" spans="1:30" ht="15" customHeight="1" x14ac:dyDescent="0.25">
      <c r="A4" s="4" t="s">
        <v>8</v>
      </c>
      <c r="D4" s="132" t="s">
        <v>103</v>
      </c>
      <c r="E4" s="9"/>
      <c r="F4" s="9"/>
      <c r="G4" s="9"/>
      <c r="H4" s="9"/>
      <c r="J4" s="132" t="s">
        <v>107</v>
      </c>
      <c r="K4" s="9"/>
      <c r="L4" s="9"/>
      <c r="M4" s="9"/>
      <c r="N4" s="9"/>
      <c r="P4" s="206" t="s">
        <v>104</v>
      </c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</row>
    <row r="5" spans="1:30" ht="12.75" thickBot="1" x14ac:dyDescent="0.25">
      <c r="D5" s="65">
        <f>'Historical Data Input'!D5</f>
        <v>2014</v>
      </c>
      <c r="E5" s="65">
        <f>'Historical Data Input'!E5</f>
        <v>2015</v>
      </c>
      <c r="F5" s="65">
        <f>'Historical Data Input'!F5</f>
        <v>2016</v>
      </c>
      <c r="G5" s="65">
        <f>'Historical Data Input'!G5</f>
        <v>2017</v>
      </c>
      <c r="H5" s="65">
        <f>'Historical Data Input'!H5</f>
        <v>2018</v>
      </c>
      <c r="I5" s="66"/>
      <c r="J5" s="65">
        <f>H5+1</f>
        <v>2019</v>
      </c>
      <c r="K5" s="65">
        <f>+J5+1</f>
        <v>2020</v>
      </c>
      <c r="L5" s="65">
        <f>+K5+1</f>
        <v>2021</v>
      </c>
      <c r="M5" s="65">
        <f>+L5+1</f>
        <v>2022</v>
      </c>
      <c r="N5" s="65">
        <f>+M5+1</f>
        <v>2023</v>
      </c>
      <c r="P5" s="148"/>
      <c r="Q5" s="57">
        <f>D5</f>
        <v>2014</v>
      </c>
      <c r="R5" s="57">
        <f>E5</f>
        <v>2015</v>
      </c>
      <c r="S5" s="57">
        <f>F5</f>
        <v>2016</v>
      </c>
      <c r="T5" s="57">
        <f>G5</f>
        <v>2017</v>
      </c>
      <c r="U5" s="57">
        <f>H5</f>
        <v>2018</v>
      </c>
      <c r="V5" s="57" t="s">
        <v>211</v>
      </c>
      <c r="W5" s="58"/>
      <c r="X5" s="57">
        <f>J5</f>
        <v>2019</v>
      </c>
      <c r="Y5" s="57">
        <f>K5</f>
        <v>2020</v>
      </c>
      <c r="Z5" s="57">
        <f>L5</f>
        <v>2021</v>
      </c>
      <c r="AA5" s="57">
        <f>M5</f>
        <v>2022</v>
      </c>
      <c r="AB5" s="57">
        <f>N5</f>
        <v>2023</v>
      </c>
    </row>
    <row r="6" spans="1:30" ht="6" customHeight="1" thickTop="1" x14ac:dyDescent="0.2">
      <c r="D6" s="11"/>
      <c r="E6" s="11"/>
      <c r="F6" s="11"/>
      <c r="G6" s="11"/>
      <c r="H6" s="11"/>
      <c r="I6" s="11"/>
      <c r="J6" s="12"/>
      <c r="K6" s="12"/>
    </row>
    <row r="7" spans="1:30" s="16" customFormat="1" x14ac:dyDescent="0.2">
      <c r="A7" s="13"/>
      <c r="B7" s="13" t="str">
        <f>'Historical Data Input'!B7</f>
        <v>売上高</v>
      </c>
      <c r="C7" s="13"/>
      <c r="D7" s="14">
        <f>'Historical Data Input'!D7</f>
        <v>27799</v>
      </c>
      <c r="E7" s="14">
        <f>'Historical Data Input'!E7</f>
        <v>30601</v>
      </c>
      <c r="F7" s="14">
        <f>'Historical Data Input'!F7</f>
        <v>32376</v>
      </c>
      <c r="G7" s="14">
        <f>'Historical Data Input'!G7</f>
        <v>34350</v>
      </c>
      <c r="H7" s="14">
        <f>'Historical Data Input'!H7</f>
        <v>36397</v>
      </c>
      <c r="I7" s="15"/>
      <c r="J7" s="14">
        <f>H7*(1+X7)</f>
        <v>38762.805</v>
      </c>
      <c r="K7" s="14">
        <f>J7*(1+Y7)</f>
        <v>41476.201350000003</v>
      </c>
      <c r="L7" s="14">
        <f>K7*(1+Z7)</f>
        <v>44586.916451249999</v>
      </c>
      <c r="M7" s="14">
        <f>L7*(1+AA7)</f>
        <v>48153.869767349999</v>
      </c>
      <c r="N7" s="14">
        <f>M7*(1+AB7)</f>
        <v>52246.94869757475</v>
      </c>
      <c r="P7" s="146" t="s">
        <v>162</v>
      </c>
      <c r="Q7" s="59"/>
      <c r="R7" s="59">
        <f>+E7/D7-1</f>
        <v>0.10079499262563396</v>
      </c>
      <c r="S7" s="59">
        <f>+F7/E7-1</f>
        <v>5.8004640371229765E-2</v>
      </c>
      <c r="T7" s="59">
        <f>+G7/F7-1</f>
        <v>6.0971089696071123E-2</v>
      </c>
      <c r="U7" s="59">
        <f>+H7/G7-1</f>
        <v>5.95924308588065E-2</v>
      </c>
      <c r="V7" s="59">
        <f>AVERAGE(Q7:U7)</f>
        <v>6.9840788387935338E-2</v>
      </c>
      <c r="W7" s="60"/>
      <c r="X7" s="176">
        <v>6.5000000000000002E-2</v>
      </c>
      <c r="Y7" s="176">
        <v>7.0000000000000007E-2</v>
      </c>
      <c r="Z7" s="176">
        <v>7.4999999999999997E-2</v>
      </c>
      <c r="AA7" s="176">
        <v>0.08</v>
      </c>
      <c r="AB7" s="176">
        <v>8.5000000000000006E-2</v>
      </c>
      <c r="AD7" s="40"/>
    </row>
    <row r="8" spans="1:30" s="16" customFormat="1" x14ac:dyDescent="0.2">
      <c r="A8" s="49" t="str">
        <f>'Historical Data Input'!A8</f>
        <v>-</v>
      </c>
      <c r="B8" s="3" t="str">
        <f>'Historical Data Input'!B8</f>
        <v>原価</v>
      </c>
      <c r="C8" s="3"/>
      <c r="D8" s="20">
        <f>'Historical Data Input'!D8</f>
        <v>15353</v>
      </c>
      <c r="E8" s="20">
        <f>'Historical Data Input'!E8</f>
        <v>16534</v>
      </c>
      <c r="F8" s="20">
        <f>'Historical Data Input'!F8</f>
        <v>17405</v>
      </c>
      <c r="G8" s="20">
        <f>'Historical Data Input'!G8</f>
        <v>19038</v>
      </c>
      <c r="H8" s="20">
        <f>'Historical Data Input'!H8</f>
        <v>20441</v>
      </c>
      <c r="I8" s="20"/>
      <c r="J8" s="20">
        <f t="shared" ref="J8:N9" si="0">J$7*X8</f>
        <v>21707.170800000004</v>
      </c>
      <c r="K8" s="20">
        <f t="shared" si="0"/>
        <v>23019.291749250002</v>
      </c>
      <c r="L8" s="20">
        <f t="shared" si="0"/>
        <v>24522.804048187503</v>
      </c>
      <c r="M8" s="20">
        <f t="shared" si="0"/>
        <v>26484.628372042502</v>
      </c>
      <c r="N8" s="20">
        <f t="shared" si="0"/>
        <v>28735.821783666113</v>
      </c>
      <c r="O8" s="48"/>
      <c r="P8" s="146" t="s">
        <v>105</v>
      </c>
      <c r="Q8" s="59">
        <f t="shared" ref="Q8:U10" si="1">D8/D$7</f>
        <v>0.55228605345516024</v>
      </c>
      <c r="R8" s="59">
        <f t="shared" si="1"/>
        <v>0.54030914022417564</v>
      </c>
      <c r="S8" s="59">
        <f t="shared" si="1"/>
        <v>0.53758957252285644</v>
      </c>
      <c r="T8" s="59">
        <f t="shared" si="1"/>
        <v>0.55423580786026205</v>
      </c>
      <c r="U8" s="59">
        <f t="shared" si="1"/>
        <v>0.56161222078742756</v>
      </c>
      <c r="V8" s="59">
        <f t="shared" ref="V8:V14" si="2">AVERAGE(Q8:U8)</f>
        <v>0.54920655896997639</v>
      </c>
      <c r="W8" s="59"/>
      <c r="X8" s="176">
        <v>0.56000000000000005</v>
      </c>
      <c r="Y8" s="176">
        <v>0.55500000000000005</v>
      </c>
      <c r="Z8" s="176">
        <v>0.55000000000000004</v>
      </c>
      <c r="AA8" s="176">
        <v>0.55000000000000004</v>
      </c>
      <c r="AB8" s="176">
        <v>0.55000000000000004</v>
      </c>
    </row>
    <row r="9" spans="1:30" s="13" customFormat="1" x14ac:dyDescent="0.2">
      <c r="A9" s="46" t="str">
        <f>'Historical Data Input'!A9</f>
        <v>-</v>
      </c>
      <c r="B9" s="21" t="str">
        <f>'Historical Data Input'!B9</f>
        <v>販管費</v>
      </c>
      <c r="C9" s="2"/>
      <c r="D9" s="22">
        <f>'Historical Data Input'!D9</f>
        <v>8766</v>
      </c>
      <c r="E9" s="22">
        <f>'Historical Data Input'!E9</f>
        <v>9892</v>
      </c>
      <c r="F9" s="22">
        <f>'Historical Data Input'!F9</f>
        <v>10469</v>
      </c>
      <c r="G9" s="22">
        <f>'Historical Data Input'!G9</f>
        <v>10563</v>
      </c>
      <c r="H9" s="22">
        <f>'Historical Data Input'!H9</f>
        <v>11511</v>
      </c>
      <c r="I9" s="20"/>
      <c r="J9" s="22">
        <f t="shared" si="0"/>
        <v>12210.283574999999</v>
      </c>
      <c r="K9" s="22">
        <f t="shared" si="0"/>
        <v>13065.003425250001</v>
      </c>
      <c r="L9" s="22">
        <f t="shared" si="0"/>
        <v>14044.87868214375</v>
      </c>
      <c r="M9" s="22">
        <f t="shared" si="0"/>
        <v>15168.46897671525</v>
      </c>
      <c r="N9" s="22">
        <f t="shared" si="0"/>
        <v>16457.788839736048</v>
      </c>
      <c r="O9" s="1"/>
      <c r="P9" s="61" t="s">
        <v>105</v>
      </c>
      <c r="Q9" s="61">
        <f t="shared" si="1"/>
        <v>0.31533508399582721</v>
      </c>
      <c r="R9" s="61">
        <f t="shared" si="1"/>
        <v>0.32325740988856572</v>
      </c>
      <c r="S9" s="61">
        <f t="shared" si="1"/>
        <v>0.32335680751173707</v>
      </c>
      <c r="T9" s="61">
        <f t="shared" si="1"/>
        <v>0.30751091703056771</v>
      </c>
      <c r="U9" s="61">
        <f t="shared" si="1"/>
        <v>0.31626232931285547</v>
      </c>
      <c r="V9" s="61">
        <f t="shared" si="2"/>
        <v>0.31714450954791062</v>
      </c>
      <c r="W9" s="62"/>
      <c r="X9" s="177">
        <v>0.315</v>
      </c>
      <c r="Y9" s="177">
        <v>0.315</v>
      </c>
      <c r="Z9" s="177">
        <v>0.315</v>
      </c>
      <c r="AA9" s="177">
        <v>0.315</v>
      </c>
      <c r="AB9" s="177">
        <v>0.315</v>
      </c>
    </row>
    <row r="10" spans="1:30" s="13" customFormat="1" x14ac:dyDescent="0.2">
      <c r="A10" s="46"/>
      <c r="B10" s="22" t="str">
        <f>'Historical Data Input'!B53</f>
        <v>減価償却費</v>
      </c>
      <c r="C10" s="2"/>
      <c r="D10" s="22">
        <f>'Historical Data Input'!D53</f>
        <v>518</v>
      </c>
      <c r="E10" s="22">
        <f>'Historical Data Input'!E53</f>
        <v>606</v>
      </c>
      <c r="F10" s="22">
        <f>'Historical Data Input'!F53</f>
        <v>649</v>
      </c>
      <c r="G10" s="22">
        <f>'Historical Data Input'!G53</f>
        <v>706</v>
      </c>
      <c r="H10" s="22">
        <f>'Historical Data Input'!H53</f>
        <v>747</v>
      </c>
      <c r="I10" s="20"/>
      <c r="J10" s="22">
        <f>J$7*X10</f>
        <v>775.25610000000006</v>
      </c>
      <c r="K10" s="22">
        <f>K$7*Y10</f>
        <v>829.52402700000005</v>
      </c>
      <c r="L10" s="22">
        <f>L$7*Z10</f>
        <v>891.73832902499998</v>
      </c>
      <c r="M10" s="22">
        <f>M$7*AA10</f>
        <v>963.07739534699999</v>
      </c>
      <c r="N10" s="22">
        <f>N$7*AB10</f>
        <v>1044.938973951495</v>
      </c>
      <c r="O10" s="1"/>
      <c r="P10" s="61" t="s">
        <v>105</v>
      </c>
      <c r="Q10" s="61">
        <f t="shared" si="1"/>
        <v>1.8633763804453397E-2</v>
      </c>
      <c r="R10" s="61">
        <f t="shared" si="1"/>
        <v>1.9803274402797295E-2</v>
      </c>
      <c r="S10" s="61">
        <f t="shared" si="1"/>
        <v>2.0045712873733631E-2</v>
      </c>
      <c r="T10" s="61">
        <f t="shared" si="1"/>
        <v>2.0553129548762736E-2</v>
      </c>
      <c r="U10" s="61">
        <f t="shared" si="1"/>
        <v>2.0523669533203285E-2</v>
      </c>
      <c r="V10" s="61">
        <f>AVERAGE(Q10:U10)</f>
        <v>1.9911910032590067E-2</v>
      </c>
      <c r="W10" s="62"/>
      <c r="X10" s="178">
        <v>0.02</v>
      </c>
      <c r="Y10" s="178">
        <v>0.02</v>
      </c>
      <c r="Z10" s="178">
        <v>0.02</v>
      </c>
      <c r="AA10" s="178">
        <v>0.02</v>
      </c>
      <c r="AB10" s="178">
        <v>0.02</v>
      </c>
    </row>
    <row r="11" spans="1:30" s="16" customFormat="1" x14ac:dyDescent="0.2">
      <c r="A11" s="53" t="s">
        <v>4</v>
      </c>
      <c r="B11" s="150" t="s">
        <v>60</v>
      </c>
      <c r="C11" s="13"/>
      <c r="D11" s="54">
        <f>D7-D8-D9</f>
        <v>3680</v>
      </c>
      <c r="E11" s="54">
        <f>E7-E8-E9</f>
        <v>4175</v>
      </c>
      <c r="F11" s="54">
        <f>F7-F8-F9</f>
        <v>4502</v>
      </c>
      <c r="G11" s="54">
        <f>G7-G8-G9</f>
        <v>4749</v>
      </c>
      <c r="H11" s="54">
        <f>H7-H8-H9</f>
        <v>4445</v>
      </c>
      <c r="I11" s="15"/>
      <c r="J11" s="54">
        <f>J7-J8-J9</f>
        <v>4845.3506249999973</v>
      </c>
      <c r="K11" s="54">
        <f>K7-K8-K9</f>
        <v>5391.9061755000002</v>
      </c>
      <c r="L11" s="54">
        <f>L7-L8-L9</f>
        <v>6019.2337209187463</v>
      </c>
      <c r="M11" s="54">
        <f>M7-M8-M9</f>
        <v>6500.772418592247</v>
      </c>
      <c r="N11" s="54">
        <f>N7-N8-N9</f>
        <v>7053.3380741725887</v>
      </c>
      <c r="P11" s="62" t="s">
        <v>105</v>
      </c>
      <c r="Q11" s="62">
        <f>1-Q8-Q9</f>
        <v>0.13237886254901254</v>
      </c>
      <c r="R11" s="62">
        <f>1-R8-R9</f>
        <v>0.13643344988725864</v>
      </c>
      <c r="S11" s="62">
        <f>1-S8-S9</f>
        <v>0.13905361996540649</v>
      </c>
      <c r="T11" s="62">
        <f>1-T8-T9</f>
        <v>0.13825327510917024</v>
      </c>
      <c r="U11" s="62">
        <f>1-U8-U9</f>
        <v>0.12212544989971696</v>
      </c>
      <c r="V11" s="62">
        <f t="shared" si="2"/>
        <v>0.13364893148211296</v>
      </c>
      <c r="W11" s="62"/>
      <c r="X11" s="62">
        <f>1-X8-X9</f>
        <v>0.12499999999999994</v>
      </c>
      <c r="Y11" s="62">
        <f>1-Y8-Y9</f>
        <v>0.12999999999999995</v>
      </c>
      <c r="Z11" s="62">
        <f>1-Z8-Z9</f>
        <v>0.13499999999999995</v>
      </c>
      <c r="AA11" s="62">
        <f>1-AA8-AA9</f>
        <v>0.13499999999999995</v>
      </c>
      <c r="AB11" s="62">
        <f>1-AB8-AB9</f>
        <v>0.13499999999999995</v>
      </c>
    </row>
    <row r="12" spans="1:30" s="16" customFormat="1" x14ac:dyDescent="0.2">
      <c r="A12" s="55"/>
      <c r="B12" s="41"/>
      <c r="C12" s="13"/>
      <c r="D12" s="15"/>
      <c r="E12" s="15"/>
      <c r="F12" s="15"/>
      <c r="G12" s="15"/>
      <c r="H12" s="15"/>
      <c r="I12" s="15"/>
      <c r="J12" s="23"/>
      <c r="K12" s="23"/>
      <c r="L12" s="23"/>
      <c r="M12" s="23"/>
      <c r="N12" s="23"/>
      <c r="P12" s="147" t="s">
        <v>106</v>
      </c>
      <c r="Q12" s="63">
        <f>'Historical Data Input'!D12/'Historical Data Input'!D11</f>
        <v>0.22714446952595937</v>
      </c>
      <c r="R12" s="63">
        <f>'Historical Data Input'!E12/'Historical Data Input'!E11</f>
        <v>0.22164090368608799</v>
      </c>
      <c r="S12" s="63">
        <f>'Historical Data Input'!F12/'Historical Data Input'!F11</f>
        <v>0.18667531905688947</v>
      </c>
      <c r="T12" s="63">
        <f>'Historical Data Input'!G12/'Historical Data Input'!G11</f>
        <v>0.13221449038067951</v>
      </c>
      <c r="U12" s="63">
        <f>'Historical Data Input'!H12/'Historical Data Input'!H11</f>
        <v>0.55306358381502885</v>
      </c>
      <c r="V12" s="63">
        <f>AVERAGE(Q12:U12)</f>
        <v>0.26414775329292906</v>
      </c>
      <c r="W12" s="62"/>
      <c r="X12" s="179">
        <v>0.25</v>
      </c>
      <c r="Y12" s="179">
        <v>0.25</v>
      </c>
      <c r="Z12" s="179">
        <v>0.25</v>
      </c>
      <c r="AA12" s="179">
        <v>0.25</v>
      </c>
      <c r="AB12" s="179">
        <v>0.25</v>
      </c>
    </row>
    <row r="13" spans="1:30" s="16" customFormat="1" x14ac:dyDescent="0.2">
      <c r="A13" s="34" t="s">
        <v>5</v>
      </c>
      <c r="B13" s="138" t="s">
        <v>61</v>
      </c>
      <c r="C13" s="2"/>
      <c r="D13" s="19">
        <f>D11*Q12</f>
        <v>835.89164785553055</v>
      </c>
      <c r="E13" s="19">
        <f>E11*R12</f>
        <v>925.35077288941739</v>
      </c>
      <c r="F13" s="19">
        <f>F11*S12</f>
        <v>840.41228639411645</v>
      </c>
      <c r="G13" s="19">
        <f>G11*T12</f>
        <v>627.88661481784698</v>
      </c>
      <c r="H13" s="19">
        <f>H11*U12</f>
        <v>2458.3676300578031</v>
      </c>
      <c r="I13" s="20"/>
      <c r="J13" s="35">
        <f>J11*X12</f>
        <v>1211.3376562499993</v>
      </c>
      <c r="K13" s="35">
        <f>K11*Y12</f>
        <v>1347.9765438750001</v>
      </c>
      <c r="L13" s="35">
        <f>L11*Z12</f>
        <v>1504.8084302296866</v>
      </c>
      <c r="M13" s="35">
        <f>M11*AA12</f>
        <v>1625.1931046480618</v>
      </c>
      <c r="N13" s="35">
        <f>N11*AB12</f>
        <v>1763.3345185431472</v>
      </c>
      <c r="O13" s="1"/>
      <c r="P13" s="61" t="s">
        <v>105</v>
      </c>
      <c r="Q13" s="61">
        <f t="shared" ref="Q13:U14" si="3">D13/D$7</f>
        <v>3.0069126510145348E-2</v>
      </c>
      <c r="R13" s="61">
        <f t="shared" si="3"/>
        <v>3.0239233126022592E-2</v>
      </c>
      <c r="S13" s="61">
        <f t="shared" si="3"/>
        <v>2.595787887305771E-2</v>
      </c>
      <c r="T13" s="61">
        <f t="shared" si="3"/>
        <v>1.8279086312018834E-2</v>
      </c>
      <c r="U13" s="61">
        <f t="shared" si="3"/>
        <v>6.754313899656024E-2</v>
      </c>
      <c r="V13" s="61">
        <f>AVERAGE(Q13:U13)</f>
        <v>3.441769276356095E-2</v>
      </c>
      <c r="X13" s="87">
        <f t="shared" ref="X13:AB14" si="4">J13/J$7</f>
        <v>3.1249999999999983E-2</v>
      </c>
      <c r="Y13" s="87">
        <f t="shared" si="4"/>
        <v>3.2500000000000001E-2</v>
      </c>
      <c r="Z13" s="87">
        <f t="shared" si="4"/>
        <v>3.3749999999999981E-2</v>
      </c>
      <c r="AA13" s="87">
        <f t="shared" si="4"/>
        <v>3.3749999999999988E-2</v>
      </c>
      <c r="AB13" s="87">
        <f t="shared" si="4"/>
        <v>3.3749999999999988E-2</v>
      </c>
    </row>
    <row r="14" spans="1:30" s="16" customFormat="1" ht="12.75" thickBot="1" x14ac:dyDescent="0.25">
      <c r="A14" s="51" t="s">
        <v>6</v>
      </c>
      <c r="B14" s="25" t="s">
        <v>7</v>
      </c>
      <c r="C14" s="13"/>
      <c r="D14" s="25">
        <f>D11-D13</f>
        <v>2844.1083521444693</v>
      </c>
      <c r="E14" s="25">
        <f>E11-E13</f>
        <v>3249.6492271105826</v>
      </c>
      <c r="F14" s="25">
        <f>F11-F13</f>
        <v>3661.5877136058834</v>
      </c>
      <c r="G14" s="25">
        <f>G11-G13</f>
        <v>4121.1133851821533</v>
      </c>
      <c r="H14" s="25">
        <f>H11-H13</f>
        <v>1986.6323699421969</v>
      </c>
      <c r="I14" s="15"/>
      <c r="J14" s="25">
        <f>J11-J13</f>
        <v>3634.012968749998</v>
      </c>
      <c r="K14" s="25">
        <f>K11-K13</f>
        <v>4043.9296316250002</v>
      </c>
      <c r="L14" s="25">
        <f>L11-L13</f>
        <v>4514.4252906890597</v>
      </c>
      <c r="M14" s="25">
        <f>M11-M13</f>
        <v>4875.5793139441848</v>
      </c>
      <c r="N14" s="25">
        <f>N11-N13</f>
        <v>5290.0035556294415</v>
      </c>
      <c r="P14" s="64" t="s">
        <v>105</v>
      </c>
      <c r="Q14" s="64">
        <f t="shared" si="3"/>
        <v>0.1023097360388672</v>
      </c>
      <c r="R14" s="64">
        <f t="shared" si="3"/>
        <v>0.106194216761236</v>
      </c>
      <c r="S14" s="64">
        <f t="shared" si="3"/>
        <v>0.11309574109234875</v>
      </c>
      <c r="T14" s="64">
        <f t="shared" si="3"/>
        <v>0.11997418879715148</v>
      </c>
      <c r="U14" s="64">
        <f t="shared" si="3"/>
        <v>5.4582310903156767E-2</v>
      </c>
      <c r="V14" s="64">
        <f t="shared" si="2"/>
        <v>9.9231238718552037E-2</v>
      </c>
      <c r="W14" s="62"/>
      <c r="X14" s="64">
        <f t="shared" si="4"/>
        <v>9.3749999999999944E-2</v>
      </c>
      <c r="Y14" s="64">
        <f t="shared" si="4"/>
        <v>9.7500000000000003E-2</v>
      </c>
      <c r="Z14" s="64">
        <f t="shared" si="4"/>
        <v>0.10124999999999994</v>
      </c>
      <c r="AA14" s="64">
        <f t="shared" si="4"/>
        <v>0.10124999999999995</v>
      </c>
      <c r="AB14" s="64">
        <f t="shared" si="4"/>
        <v>0.10124999999999997</v>
      </c>
    </row>
    <row r="15" spans="1:30" ht="12.75" thickTop="1" x14ac:dyDescent="0.2">
      <c r="A15" s="1" t="s">
        <v>108</v>
      </c>
      <c r="D15" s="26"/>
      <c r="E15" s="87">
        <f>E50/D50-1</f>
        <v>0.1425898119037321</v>
      </c>
      <c r="F15" s="87">
        <f>F50/E50-1</f>
        <v>0.12676398518912602</v>
      </c>
      <c r="G15" s="87">
        <f>G50/F50-1</f>
        <v>0.12549902051198858</v>
      </c>
      <c r="H15" s="87">
        <f>H50/G50-1</f>
        <v>-0.51793794922379022</v>
      </c>
      <c r="I15" s="19"/>
      <c r="J15" s="87">
        <f>J50/H50-1</f>
        <v>0.82923273763818384</v>
      </c>
      <c r="K15" s="87">
        <f>K50/J50-1</f>
        <v>0.11280000000000068</v>
      </c>
      <c r="L15" s="87">
        <f>L50/K50-1</f>
        <v>0.11634615384615321</v>
      </c>
      <c r="M15" s="87">
        <f>M50/L50-1</f>
        <v>8.0000000000000071E-2</v>
      </c>
      <c r="N15" s="87">
        <f>N50/M50-1</f>
        <v>8.5000000000000187E-2</v>
      </c>
      <c r="P15" s="131"/>
      <c r="Q15" s="56"/>
      <c r="R15" s="56"/>
      <c r="S15" s="56"/>
      <c r="T15" s="56"/>
      <c r="U15" s="56"/>
      <c r="X15" s="56"/>
      <c r="Y15" s="56"/>
      <c r="Z15" s="56"/>
      <c r="AA15" s="56"/>
      <c r="AB15" s="56"/>
    </row>
    <row r="16" spans="1:30" x14ac:dyDescent="0.2">
      <c r="D16" s="26"/>
      <c r="E16" s="26"/>
      <c r="F16" s="26"/>
      <c r="G16" s="26"/>
      <c r="H16" s="26"/>
      <c r="I16" s="20"/>
      <c r="J16" s="26"/>
      <c r="K16" s="26"/>
      <c r="L16" s="26"/>
      <c r="M16" s="26"/>
      <c r="N16" s="26"/>
    </row>
    <row r="17" spans="1:28" ht="14.25" x14ac:dyDescent="0.2">
      <c r="A17" s="133" t="s">
        <v>102</v>
      </c>
      <c r="D17" s="132" t="s">
        <v>103</v>
      </c>
      <c r="E17" s="9"/>
      <c r="F17" s="9"/>
      <c r="G17" s="9"/>
      <c r="H17" s="9"/>
      <c r="J17" s="132" t="s">
        <v>107</v>
      </c>
      <c r="K17" s="9"/>
      <c r="L17" s="9"/>
      <c r="M17" s="9"/>
      <c r="N17" s="9"/>
      <c r="P17" s="206" t="s">
        <v>104</v>
      </c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</row>
    <row r="18" spans="1:28" ht="12.75" thickBot="1" x14ac:dyDescent="0.25">
      <c r="A18" s="13"/>
      <c r="B18" s="13"/>
      <c r="D18" s="65">
        <f>'Historical Data Input'!D17</f>
        <v>2014</v>
      </c>
      <c r="E18" s="65">
        <f>'Historical Data Input'!E17</f>
        <v>2015</v>
      </c>
      <c r="F18" s="65">
        <f>'Historical Data Input'!F17</f>
        <v>2016</v>
      </c>
      <c r="G18" s="65">
        <f>'Historical Data Input'!G17</f>
        <v>2017</v>
      </c>
      <c r="H18" s="65">
        <f>'Historical Data Input'!H17</f>
        <v>2018</v>
      </c>
      <c r="I18" s="66"/>
      <c r="J18" s="65">
        <f>H18+1</f>
        <v>2019</v>
      </c>
      <c r="K18" s="65">
        <f>+J18+1</f>
        <v>2020</v>
      </c>
      <c r="L18" s="65">
        <f>+K18+1</f>
        <v>2021</v>
      </c>
      <c r="M18" s="65">
        <f>+L18+1</f>
        <v>2022</v>
      </c>
      <c r="N18" s="65">
        <f>+M18+1</f>
        <v>2023</v>
      </c>
      <c r="P18" s="148"/>
      <c r="Q18" s="57">
        <f>D18</f>
        <v>2014</v>
      </c>
      <c r="R18" s="57">
        <f>E18</f>
        <v>2015</v>
      </c>
      <c r="S18" s="57">
        <f>F18</f>
        <v>2016</v>
      </c>
      <c r="T18" s="57">
        <f>G18</f>
        <v>2017</v>
      </c>
      <c r="U18" s="57">
        <f>H18</f>
        <v>2018</v>
      </c>
      <c r="V18" s="57" t="s">
        <v>211</v>
      </c>
      <c r="W18" s="58"/>
      <c r="X18" s="57">
        <f>J18</f>
        <v>2019</v>
      </c>
      <c r="Y18" s="57">
        <f>K18</f>
        <v>2020</v>
      </c>
      <c r="Z18" s="57">
        <f>L18</f>
        <v>2021</v>
      </c>
      <c r="AA18" s="57">
        <f>M18</f>
        <v>2022</v>
      </c>
      <c r="AB18" s="57">
        <f>N18</f>
        <v>2023</v>
      </c>
    </row>
    <row r="19" spans="1:28" ht="12.75" thickTop="1" x14ac:dyDescent="0.2">
      <c r="A19" s="2"/>
      <c r="B19" s="2"/>
      <c r="D19" s="26"/>
      <c r="E19" s="26"/>
      <c r="F19" s="26"/>
      <c r="G19" s="26"/>
      <c r="H19" s="26"/>
      <c r="I19" s="20"/>
      <c r="J19" s="26"/>
      <c r="K19" s="26"/>
      <c r="L19" s="26"/>
      <c r="M19" s="26"/>
      <c r="N19" s="26"/>
    </row>
    <row r="20" spans="1:28" x14ac:dyDescent="0.2">
      <c r="A20" s="2"/>
      <c r="B20" s="3" t="str">
        <f>'Historical Data Input'!B19</f>
        <v>現金及び同等物</v>
      </c>
      <c r="C20" s="3"/>
      <c r="D20" s="35">
        <f>'Historical Data Input'!D19</f>
        <v>2220</v>
      </c>
      <c r="E20" s="35">
        <f>'Historical Data Input'!E19</f>
        <v>3852</v>
      </c>
      <c r="F20" s="35">
        <f>'Historical Data Input'!F19</f>
        <v>3138</v>
      </c>
      <c r="G20" s="35">
        <f>'Historical Data Input'!G19</f>
        <v>3808</v>
      </c>
      <c r="H20" s="35">
        <f>'Historical Data Input'!H19</f>
        <v>4249</v>
      </c>
      <c r="I20" s="20"/>
      <c r="J20" s="19">
        <f>H20</f>
        <v>4249</v>
      </c>
      <c r="K20" s="19">
        <f>J20</f>
        <v>4249</v>
      </c>
      <c r="L20" s="19">
        <f t="shared" ref="L20:N22" si="5">K20</f>
        <v>4249</v>
      </c>
      <c r="M20" s="19">
        <f t="shared" si="5"/>
        <v>4249</v>
      </c>
      <c r="N20" s="19">
        <f t="shared" si="5"/>
        <v>4249</v>
      </c>
      <c r="P20" s="19"/>
      <c r="Q20" s="129"/>
      <c r="R20" s="129"/>
      <c r="S20" s="129"/>
      <c r="T20" s="129"/>
      <c r="U20" s="129"/>
      <c r="V20" s="129"/>
      <c r="W20" s="2"/>
      <c r="X20" s="88"/>
      <c r="Y20" s="88"/>
      <c r="Z20" s="88"/>
      <c r="AA20" s="88"/>
      <c r="AB20" s="88"/>
    </row>
    <row r="21" spans="1:28" x14ac:dyDescent="0.2">
      <c r="A21" s="2"/>
      <c r="B21" s="3" t="str">
        <f>'Historical Data Input'!B20</f>
        <v>有価証券</v>
      </c>
      <c r="C21" s="3"/>
      <c r="D21" s="35">
        <f>'Historical Data Input'!D20</f>
        <v>2922</v>
      </c>
      <c r="E21" s="35">
        <f>'Historical Data Input'!E20</f>
        <v>2072</v>
      </c>
      <c r="F21" s="35">
        <f>'Historical Data Input'!F20</f>
        <v>2319</v>
      </c>
      <c r="G21" s="35">
        <f>'Historical Data Input'!G20</f>
        <v>2371</v>
      </c>
      <c r="H21" s="35">
        <f>'Historical Data Input'!H20</f>
        <v>996</v>
      </c>
      <c r="I21" s="20"/>
      <c r="J21" s="19">
        <f>H21</f>
        <v>996</v>
      </c>
      <c r="K21" s="19">
        <f>J21</f>
        <v>996</v>
      </c>
      <c r="L21" s="19">
        <f t="shared" si="5"/>
        <v>996</v>
      </c>
      <c r="M21" s="19">
        <f t="shared" si="5"/>
        <v>996</v>
      </c>
      <c r="N21" s="19">
        <f t="shared" si="5"/>
        <v>996</v>
      </c>
      <c r="P21" s="19"/>
      <c r="Q21" s="129"/>
      <c r="R21" s="129"/>
      <c r="S21" s="129"/>
      <c r="T21" s="129"/>
      <c r="U21" s="129"/>
      <c r="V21" s="129"/>
      <c r="W21" s="2"/>
      <c r="X21" s="88"/>
      <c r="Y21" s="88"/>
      <c r="Z21" s="88"/>
      <c r="AA21" s="88"/>
      <c r="AB21" s="88"/>
    </row>
    <row r="22" spans="1:28" x14ac:dyDescent="0.2">
      <c r="A22" s="2"/>
      <c r="B22" s="3" t="str">
        <f>'Historical Data Input'!A26</f>
        <v>投資有価証券</v>
      </c>
      <c r="C22" s="3"/>
      <c r="D22" s="35">
        <f>'Historical Data Input'!D26</f>
        <v>0</v>
      </c>
      <c r="E22" s="35">
        <f>'Historical Data Input'!E26</f>
        <v>0</v>
      </c>
      <c r="F22" s="35">
        <f>'Historical Data Input'!F26</f>
        <v>0</v>
      </c>
      <c r="G22" s="35">
        <f>'Historical Data Input'!G26</f>
        <v>0</v>
      </c>
      <c r="H22" s="35">
        <f>'Historical Data Input'!H26</f>
        <v>0</v>
      </c>
      <c r="I22" s="20"/>
      <c r="J22" s="19">
        <f>H22</f>
        <v>0</v>
      </c>
      <c r="K22" s="19">
        <f>J22</f>
        <v>0</v>
      </c>
      <c r="L22" s="19">
        <f t="shared" si="5"/>
        <v>0</v>
      </c>
      <c r="M22" s="19">
        <f t="shared" si="5"/>
        <v>0</v>
      </c>
      <c r="N22" s="19">
        <f t="shared" si="5"/>
        <v>0</v>
      </c>
      <c r="P22" s="19"/>
      <c r="Q22" s="129"/>
      <c r="R22" s="129"/>
      <c r="S22" s="129"/>
      <c r="T22" s="129"/>
      <c r="U22" s="129"/>
      <c r="V22" s="129"/>
      <c r="W22" s="2"/>
      <c r="X22" s="88"/>
      <c r="Y22" s="88"/>
      <c r="Z22" s="88"/>
      <c r="AA22" s="88"/>
      <c r="AB22" s="88"/>
    </row>
    <row r="23" spans="1:28" x14ac:dyDescent="0.2">
      <c r="A23" s="70" t="s">
        <v>4</v>
      </c>
      <c r="B23" s="149" t="s">
        <v>109</v>
      </c>
      <c r="D23" s="72">
        <f>SUM(D20:D22)</f>
        <v>5142</v>
      </c>
      <c r="E23" s="72">
        <f t="shared" ref="E23:H23" si="6">SUM(E20:E22)</f>
        <v>5924</v>
      </c>
      <c r="F23" s="72">
        <f t="shared" si="6"/>
        <v>5457</v>
      </c>
      <c r="G23" s="72">
        <f t="shared" si="6"/>
        <v>6179</v>
      </c>
      <c r="H23" s="72">
        <f t="shared" si="6"/>
        <v>5245</v>
      </c>
      <c r="I23" s="20"/>
      <c r="J23" s="72">
        <f t="shared" ref="J23" si="7">SUM(J20:J22)</f>
        <v>5245</v>
      </c>
      <c r="K23" s="72">
        <f t="shared" ref="K23" si="8">SUM(K20:K22)</f>
        <v>5245</v>
      </c>
      <c r="L23" s="72">
        <f t="shared" ref="L23" si="9">SUM(L20:L22)</f>
        <v>5245</v>
      </c>
      <c r="M23" s="72">
        <f t="shared" ref="M23" si="10">SUM(M20:M22)</f>
        <v>5245</v>
      </c>
      <c r="N23" s="72">
        <f t="shared" ref="N23" si="11">SUM(N20:N22)</f>
        <v>5245</v>
      </c>
      <c r="P23" s="72" t="s">
        <v>105</v>
      </c>
      <c r="Q23" s="89">
        <f t="shared" ref="Q23" si="12">D23/D$7</f>
        <v>0.18497068239864745</v>
      </c>
      <c r="R23" s="89">
        <f t="shared" ref="R23" si="13">E23/E$7</f>
        <v>0.19358844482206464</v>
      </c>
      <c r="S23" s="89">
        <f t="shared" ref="S23" si="14">F23/F$7</f>
        <v>0.16855077835433654</v>
      </c>
      <c r="T23" s="89">
        <f t="shared" ref="T23" si="15">G23/G$7</f>
        <v>0.17988355167394468</v>
      </c>
      <c r="U23" s="89">
        <f t="shared" ref="U23" si="16">H23/H$7</f>
        <v>0.14410528340247822</v>
      </c>
      <c r="V23" s="89">
        <f>AVERAGE(Q23:U23)</f>
        <v>0.17421974813029428</v>
      </c>
      <c r="X23" s="89">
        <f>J23/J$7</f>
        <v>0.13531012526054292</v>
      </c>
      <c r="Y23" s="89">
        <f t="shared" ref="Y23:AB23" si="17">K23/K$7</f>
        <v>0.12645806099116161</v>
      </c>
      <c r="Z23" s="89">
        <f t="shared" si="17"/>
        <v>0.1176354055731736</v>
      </c>
      <c r="AA23" s="89">
        <f t="shared" si="17"/>
        <v>0.10892167182701259</v>
      </c>
      <c r="AB23" s="89">
        <f t="shared" si="17"/>
        <v>0.10038863762858304</v>
      </c>
    </row>
    <row r="24" spans="1:28" x14ac:dyDescent="0.2">
      <c r="A24" s="2"/>
      <c r="B24" s="2" t="str">
        <f>'Historical Data Input'!B21</f>
        <v>売掛債権</v>
      </c>
      <c r="D24" s="26">
        <f>'Historical Data Input'!D21</f>
        <v>3434</v>
      </c>
      <c r="E24" s="26">
        <f>'Historical Data Input'!E21</f>
        <v>3358</v>
      </c>
      <c r="F24" s="26">
        <f>'Historical Data Input'!F21</f>
        <v>3241</v>
      </c>
      <c r="G24" s="26">
        <f>'Historical Data Input'!G21</f>
        <v>3677</v>
      </c>
      <c r="H24" s="26">
        <f>'Historical Data Input'!H21</f>
        <v>3498</v>
      </c>
      <c r="I24" s="20"/>
      <c r="J24" s="26">
        <f t="shared" ref="J24" si="18">J$7*X24</f>
        <v>3876.2805000000003</v>
      </c>
      <c r="K24" s="26">
        <f t="shared" ref="K24" si="19">K$7*Y24</f>
        <v>4147.6201350000001</v>
      </c>
      <c r="L24" s="26">
        <f t="shared" ref="L24" si="20">L$7*Z24</f>
        <v>4458.6916451249999</v>
      </c>
      <c r="M24" s="26">
        <f t="shared" ref="M24" si="21">M$7*AA24</f>
        <v>4815.3869767349997</v>
      </c>
      <c r="N24" s="26">
        <f t="shared" ref="N24" si="22">N$7*AB24</f>
        <v>5224.6948697574753</v>
      </c>
      <c r="P24" s="26" t="s">
        <v>105</v>
      </c>
      <c r="Q24" s="59">
        <f t="shared" ref="Q24" si="23">D24/D$7</f>
        <v>0.12352962336774705</v>
      </c>
      <c r="R24" s="59">
        <f t="shared" ref="R24" si="24">E24/E$7</f>
        <v>0.10973497598117708</v>
      </c>
      <c r="S24" s="59">
        <f t="shared" ref="S24" si="25">F24/F$7</f>
        <v>0.10010501606127996</v>
      </c>
      <c r="T24" s="59">
        <f t="shared" ref="T24" si="26">G24/G$7</f>
        <v>0.10704512372634643</v>
      </c>
      <c r="U24" s="59">
        <f t="shared" ref="U24" si="27">H24/H$7</f>
        <v>9.6106821990823418E-2</v>
      </c>
      <c r="V24" s="59">
        <f>AVERAGE(Q24:U24)</f>
        <v>0.10730431222547479</v>
      </c>
      <c r="X24" s="180">
        <v>0.1</v>
      </c>
      <c r="Y24" s="180">
        <v>0.1</v>
      </c>
      <c r="Z24" s="180">
        <v>0.1</v>
      </c>
      <c r="AA24" s="180">
        <v>0.1</v>
      </c>
      <c r="AB24" s="180">
        <v>0.1</v>
      </c>
    </row>
    <row r="25" spans="1:28" x14ac:dyDescent="0.2">
      <c r="A25" s="2"/>
      <c r="B25" s="2" t="str">
        <f>'Historical Data Input'!B22</f>
        <v>棚卸資産</v>
      </c>
      <c r="D25" s="26">
        <f>'Historical Data Input'!D22</f>
        <v>3947</v>
      </c>
      <c r="E25" s="26">
        <f>'Historical Data Input'!E22</f>
        <v>4337</v>
      </c>
      <c r="F25" s="26">
        <f>'Historical Data Input'!F22</f>
        <v>4838</v>
      </c>
      <c r="G25" s="26">
        <f>'Historical Data Input'!G22</f>
        <v>5055</v>
      </c>
      <c r="H25" s="26">
        <f>'Historical Data Input'!H22</f>
        <v>5261</v>
      </c>
      <c r="I25" s="20"/>
      <c r="J25" s="26">
        <f t="shared" ref="J25:N27" si="28">J$7*X25</f>
        <v>5581.8439199999993</v>
      </c>
      <c r="K25" s="26">
        <f t="shared" si="28"/>
        <v>5931.0967930500001</v>
      </c>
      <c r="L25" s="26">
        <f t="shared" si="28"/>
        <v>6331.3421360774992</v>
      </c>
      <c r="M25" s="26">
        <f t="shared" si="28"/>
        <v>6789.6956371963488</v>
      </c>
      <c r="N25" s="26">
        <f t="shared" si="28"/>
        <v>7314.5728176604653</v>
      </c>
      <c r="P25" s="26" t="s">
        <v>105</v>
      </c>
      <c r="Q25" s="59">
        <f t="shared" ref="Q25:U27" si="29">D25/D$7</f>
        <v>0.14198352458721536</v>
      </c>
      <c r="R25" s="59">
        <f t="shared" si="29"/>
        <v>0.14172739452959054</v>
      </c>
      <c r="S25" s="59">
        <f t="shared" si="29"/>
        <v>0.14943167778601432</v>
      </c>
      <c r="T25" s="59">
        <f t="shared" si="29"/>
        <v>0.14716157205240174</v>
      </c>
      <c r="U25" s="59">
        <f t="shared" si="29"/>
        <v>0.14454488007253344</v>
      </c>
      <c r="V25" s="59">
        <f>AVERAGE(Q25:U25)</f>
        <v>0.14496980980555108</v>
      </c>
      <c r="X25" s="180">
        <v>0.14399999999999999</v>
      </c>
      <c r="Y25" s="180">
        <v>0.14299999999999999</v>
      </c>
      <c r="Z25" s="180">
        <v>0.14199999999999999</v>
      </c>
      <c r="AA25" s="180">
        <v>0.14099999999999999</v>
      </c>
      <c r="AB25" s="180">
        <v>0.14000000000000001</v>
      </c>
    </row>
    <row r="26" spans="1:28" x14ac:dyDescent="0.2">
      <c r="A26" s="2"/>
      <c r="B26" s="2" t="str">
        <f>'Historical Data Input'!B23</f>
        <v>その他流動資産</v>
      </c>
      <c r="D26" s="26">
        <f>'Historical Data Input'!D23</f>
        <v>1173</v>
      </c>
      <c r="E26" s="26">
        <f>'Historical Data Input'!E23</f>
        <v>2357</v>
      </c>
      <c r="F26" s="26">
        <f>'Historical Data Input'!F23</f>
        <v>1489</v>
      </c>
      <c r="G26" s="26">
        <f>'Historical Data Input'!G23</f>
        <v>1150</v>
      </c>
      <c r="H26" s="26">
        <f>'Historical Data Input'!H23</f>
        <v>1130</v>
      </c>
      <c r="I26" s="20"/>
      <c r="J26" s="26">
        <f t="shared" si="28"/>
        <v>1550.5122000000001</v>
      </c>
      <c r="K26" s="26">
        <f t="shared" si="28"/>
        <v>1659.0480540000001</v>
      </c>
      <c r="L26" s="26">
        <f t="shared" si="28"/>
        <v>1783.47665805</v>
      </c>
      <c r="M26" s="26">
        <f t="shared" si="28"/>
        <v>1926.154790694</v>
      </c>
      <c r="N26" s="26">
        <f t="shared" si="28"/>
        <v>2089.8779479029899</v>
      </c>
      <c r="P26" s="26" t="s">
        <v>105</v>
      </c>
      <c r="Q26" s="59">
        <f t="shared" si="29"/>
        <v>4.2195762437497751E-2</v>
      </c>
      <c r="R26" s="59">
        <f t="shared" si="29"/>
        <v>7.7023626678866697E-2</v>
      </c>
      <c r="S26" s="59">
        <f t="shared" si="29"/>
        <v>4.5990857425253273E-2</v>
      </c>
      <c r="T26" s="59">
        <f t="shared" si="29"/>
        <v>3.3478893740902474E-2</v>
      </c>
      <c r="U26" s="59">
        <f t="shared" si="29"/>
        <v>3.104651482265022E-2</v>
      </c>
      <c r="V26" s="59">
        <f>AVERAGE(Q26:U26)</f>
        <v>4.5947131021034086E-2</v>
      </c>
      <c r="X26" s="180">
        <v>0.04</v>
      </c>
      <c r="Y26" s="180">
        <v>0.04</v>
      </c>
      <c r="Z26" s="180">
        <v>0.04</v>
      </c>
      <c r="AA26" s="180">
        <v>0.04</v>
      </c>
      <c r="AB26" s="180">
        <v>0.04</v>
      </c>
    </row>
    <row r="27" spans="1:28" x14ac:dyDescent="0.2">
      <c r="A27" s="2" t="s">
        <v>17</v>
      </c>
      <c r="B27" s="2" t="str">
        <f>'Historical Data Input'!B32</f>
        <v>その他流動負債（無利子流動負債）</v>
      </c>
      <c r="D27" s="26">
        <f>'Historical Data Input'!D32</f>
        <v>5020</v>
      </c>
      <c r="E27" s="26">
        <f>'Historical Data Input'!E32</f>
        <v>6227</v>
      </c>
      <c r="F27" s="26">
        <f>'Historical Data Input'!F32</f>
        <v>5314</v>
      </c>
      <c r="G27" s="26">
        <f>'Historical Data Input'!G32</f>
        <v>5468</v>
      </c>
      <c r="H27" s="26">
        <f>'Historical Data Input'!H32</f>
        <v>6034</v>
      </c>
      <c r="I27" s="20"/>
      <c r="J27" s="26">
        <f t="shared" si="28"/>
        <v>6434.6256300000005</v>
      </c>
      <c r="K27" s="26">
        <f t="shared" si="28"/>
        <v>6885.0494241000006</v>
      </c>
      <c r="L27" s="26">
        <f t="shared" si="28"/>
        <v>7401.4281309075004</v>
      </c>
      <c r="M27" s="26">
        <f t="shared" si="28"/>
        <v>7993.5423813800999</v>
      </c>
      <c r="N27" s="26">
        <f t="shared" si="28"/>
        <v>8672.9934837974088</v>
      </c>
      <c r="P27" s="26" t="s">
        <v>105</v>
      </c>
      <c r="Q27" s="87">
        <f t="shared" si="29"/>
        <v>0.18058203532501169</v>
      </c>
      <c r="R27" s="87">
        <f t="shared" si="29"/>
        <v>0.20349008202346328</v>
      </c>
      <c r="S27" s="87">
        <f t="shared" si="29"/>
        <v>0.16413392636520879</v>
      </c>
      <c r="T27" s="87">
        <f t="shared" si="29"/>
        <v>0.15918486171761281</v>
      </c>
      <c r="U27" s="87">
        <f t="shared" si="29"/>
        <v>0.16578289419457648</v>
      </c>
      <c r="V27" s="87">
        <f>AVERAGE(Q27:U27)</f>
        <v>0.1746347599251746</v>
      </c>
      <c r="X27" s="180">
        <v>0.16600000000000001</v>
      </c>
      <c r="Y27" s="180">
        <v>0.16600000000000001</v>
      </c>
      <c r="Z27" s="180">
        <v>0.16600000000000001</v>
      </c>
      <c r="AA27" s="180">
        <v>0.16600000000000001</v>
      </c>
      <c r="AB27" s="180">
        <v>0.16600000000000001</v>
      </c>
    </row>
    <row r="28" spans="1:28" x14ac:dyDescent="0.2">
      <c r="A28" s="70" t="s">
        <v>18</v>
      </c>
      <c r="B28" s="149" t="s">
        <v>110</v>
      </c>
      <c r="D28" s="72">
        <f>D24+D25+D26-D27</f>
        <v>3534</v>
      </c>
      <c r="E28" s="72">
        <f t="shared" ref="E28:H28" si="30">E24+E25+E26-E27</f>
        <v>3825</v>
      </c>
      <c r="F28" s="72">
        <f t="shared" si="30"/>
        <v>4254</v>
      </c>
      <c r="G28" s="72">
        <f t="shared" si="30"/>
        <v>4414</v>
      </c>
      <c r="H28" s="72">
        <f t="shared" si="30"/>
        <v>3855</v>
      </c>
      <c r="I28" s="20"/>
      <c r="J28" s="72">
        <f t="shared" ref="J28:N28" si="31">J24+J25+J26-J27</f>
        <v>4574.0109900000007</v>
      </c>
      <c r="K28" s="72">
        <f t="shared" si="31"/>
        <v>4852.7155579500004</v>
      </c>
      <c r="L28" s="72">
        <f t="shared" si="31"/>
        <v>5172.0823083449986</v>
      </c>
      <c r="M28" s="72">
        <f t="shared" si="31"/>
        <v>5537.6950232452482</v>
      </c>
      <c r="N28" s="72">
        <f t="shared" si="31"/>
        <v>5956.1521515235236</v>
      </c>
      <c r="P28" s="72" t="s">
        <v>105</v>
      </c>
      <c r="Q28" s="89">
        <f t="shared" ref="Q28:V28" si="32">Q24+Q25+Q26-Q27</f>
        <v>0.12712687506744844</v>
      </c>
      <c r="R28" s="89">
        <f t="shared" si="32"/>
        <v>0.12499591516617106</v>
      </c>
      <c r="S28" s="89">
        <f t="shared" si="32"/>
        <v>0.13139362490733875</v>
      </c>
      <c r="T28" s="89">
        <f t="shared" si="32"/>
        <v>0.12850072780203781</v>
      </c>
      <c r="U28" s="89">
        <f t="shared" si="32"/>
        <v>0.10591532269143056</v>
      </c>
      <c r="V28" s="89">
        <f t="shared" si="32"/>
        <v>0.12358649312688533</v>
      </c>
      <c r="X28" s="89">
        <f t="shared" ref="X28:AB28" si="33">X24+X25+X26-X27</f>
        <v>0.11799999999999997</v>
      </c>
      <c r="Y28" s="89">
        <f t="shared" si="33"/>
        <v>0.11699999999999997</v>
      </c>
      <c r="Z28" s="89">
        <f t="shared" si="33"/>
        <v>0.11599999999999996</v>
      </c>
      <c r="AA28" s="89">
        <f t="shared" si="33"/>
        <v>0.11499999999999996</v>
      </c>
      <c r="AB28" s="89">
        <f t="shared" si="33"/>
        <v>0.11400000000000002</v>
      </c>
    </row>
    <row r="29" spans="1:28" x14ac:dyDescent="0.2">
      <c r="A29" s="13"/>
      <c r="B29" s="2" t="str">
        <f>'Historical Data Input'!A25</f>
        <v>有形固定資産</v>
      </c>
      <c r="D29" s="26">
        <f>'Historical Data Input'!D25</f>
        <v>2834</v>
      </c>
      <c r="E29" s="26">
        <f>'Historical Data Input'!E25</f>
        <v>3011</v>
      </c>
      <c r="F29" s="26">
        <f>'Historical Data Input'!F25</f>
        <v>3520</v>
      </c>
      <c r="G29" s="26">
        <f>'Historical Data Input'!G25</f>
        <v>3989</v>
      </c>
      <c r="H29" s="26">
        <f>'Historical Data Input'!H25</f>
        <v>4454</v>
      </c>
      <c r="I29" s="20"/>
      <c r="J29" s="26">
        <f t="shared" ref="J29:N31" si="34">J$7*X29</f>
        <v>4651.5365999999995</v>
      </c>
      <c r="K29" s="26">
        <f t="shared" si="34"/>
        <v>4977.1441620000005</v>
      </c>
      <c r="L29" s="26">
        <f t="shared" si="34"/>
        <v>5350.4299741499999</v>
      </c>
      <c r="M29" s="26">
        <f t="shared" si="34"/>
        <v>5778.4643720819995</v>
      </c>
      <c r="N29" s="26">
        <f t="shared" si="34"/>
        <v>6269.6338437089698</v>
      </c>
      <c r="P29" s="26" t="s">
        <v>105</v>
      </c>
      <c r="Q29" s="87">
        <f t="shared" ref="Q29:U31" si="35">D29/D$7</f>
        <v>0.10194611316953847</v>
      </c>
      <c r="R29" s="87">
        <f t="shared" si="35"/>
        <v>9.8395477271984569E-2</v>
      </c>
      <c r="S29" s="87">
        <f t="shared" si="35"/>
        <v>0.10872251050160613</v>
      </c>
      <c r="T29" s="87">
        <f t="shared" si="35"/>
        <v>0.11612809315866085</v>
      </c>
      <c r="U29" s="87">
        <f t="shared" si="35"/>
        <v>0.12237272302662307</v>
      </c>
      <c r="V29" s="87">
        <f>AVERAGE(Q29:U29)</f>
        <v>0.10951298342568264</v>
      </c>
      <c r="X29" s="180">
        <v>0.12</v>
      </c>
      <c r="Y29" s="180">
        <v>0.12</v>
      </c>
      <c r="Z29" s="180">
        <v>0.12</v>
      </c>
      <c r="AA29" s="180">
        <v>0.12</v>
      </c>
      <c r="AB29" s="180">
        <v>0.12</v>
      </c>
    </row>
    <row r="30" spans="1:28" x14ac:dyDescent="0.2">
      <c r="A30" s="13"/>
      <c r="B30" s="2" t="str">
        <f>'Historical Data Input'!A27</f>
        <v>その他固定資産</v>
      </c>
      <c r="D30" s="26">
        <f>'Historical Data Input'!D27</f>
        <v>2064</v>
      </c>
      <c r="E30" s="26">
        <f>'Historical Data Input'!E27</f>
        <v>2613</v>
      </c>
      <c r="F30" s="26">
        <f>'Historical Data Input'!F27</f>
        <v>2834</v>
      </c>
      <c r="G30" s="26">
        <f>'Historical Data Input'!G27</f>
        <v>3209</v>
      </c>
      <c r="H30" s="26">
        <f>'Historical Data Input'!H27</f>
        <v>2948</v>
      </c>
      <c r="I30" s="20"/>
      <c r="J30" s="26">
        <f t="shared" si="34"/>
        <v>3178.5500100000004</v>
      </c>
      <c r="K30" s="26">
        <f t="shared" si="34"/>
        <v>3442.5247120500003</v>
      </c>
      <c r="L30" s="26">
        <f t="shared" si="34"/>
        <v>3745.3009819050003</v>
      </c>
      <c r="M30" s="26">
        <f t="shared" si="34"/>
        <v>4093.0789302247504</v>
      </c>
      <c r="N30" s="26">
        <f t="shared" si="34"/>
        <v>4440.9906392938537</v>
      </c>
      <c r="P30" s="26" t="s">
        <v>105</v>
      </c>
      <c r="Q30" s="87">
        <f t="shared" si="35"/>
        <v>7.4247275081837483E-2</v>
      </c>
      <c r="R30" s="87">
        <f t="shared" si="35"/>
        <v>8.5389366360576452E-2</v>
      </c>
      <c r="S30" s="87">
        <f t="shared" si="35"/>
        <v>8.7533975784531745E-2</v>
      </c>
      <c r="T30" s="87">
        <f t="shared" si="35"/>
        <v>9.3420669577874815E-2</v>
      </c>
      <c r="U30" s="87">
        <f t="shared" si="35"/>
        <v>8.099568645767509E-2</v>
      </c>
      <c r="V30" s="87">
        <f>AVERAGE(Q30:U30)</f>
        <v>8.4317394652499114E-2</v>
      </c>
      <c r="X30" s="180">
        <v>8.2000000000000003E-2</v>
      </c>
      <c r="Y30" s="180">
        <v>8.3000000000000004E-2</v>
      </c>
      <c r="Z30" s="180">
        <v>8.4000000000000005E-2</v>
      </c>
      <c r="AA30" s="180">
        <v>8.5000000000000006E-2</v>
      </c>
      <c r="AB30" s="180">
        <v>8.5000000000000006E-2</v>
      </c>
    </row>
    <row r="31" spans="1:28" x14ac:dyDescent="0.2">
      <c r="A31" s="2" t="s">
        <v>17</v>
      </c>
      <c r="B31" s="3" t="str">
        <f>'Historical Data Input'!B36</f>
        <v>その他固定負債（無利子固定負債）</v>
      </c>
      <c r="C31" s="3"/>
      <c r="D31" s="35">
        <f>'Historical Data Input'!D36</f>
        <v>1544</v>
      </c>
      <c r="E31" s="35">
        <f>'Historical Data Input'!E36</f>
        <v>1480</v>
      </c>
      <c r="F31" s="35">
        <f>'Historical Data Input'!F36</f>
        <v>1770</v>
      </c>
      <c r="G31" s="35">
        <f>'Historical Data Input'!G36</f>
        <v>1907</v>
      </c>
      <c r="H31" s="35">
        <f>'Historical Data Input'!H36</f>
        <v>3216</v>
      </c>
      <c r="I31" s="20"/>
      <c r="J31" s="35">
        <f t="shared" si="34"/>
        <v>3294.8384250000004</v>
      </c>
      <c r="K31" s="35">
        <f t="shared" si="34"/>
        <v>3442.5247120500003</v>
      </c>
      <c r="L31" s="35">
        <f t="shared" si="34"/>
        <v>3611.54023255125</v>
      </c>
      <c r="M31" s="35">
        <f t="shared" si="34"/>
        <v>3852.309581388</v>
      </c>
      <c r="N31" s="35">
        <f t="shared" si="34"/>
        <v>4179.7558958059799</v>
      </c>
      <c r="O31" s="48"/>
      <c r="P31" s="35" t="s">
        <v>105</v>
      </c>
      <c r="Q31" s="78">
        <f t="shared" si="35"/>
        <v>5.5541566243390052E-2</v>
      </c>
      <c r="R31" s="78">
        <f t="shared" si="35"/>
        <v>4.8364432534884483E-2</v>
      </c>
      <c r="S31" s="78">
        <f t="shared" si="35"/>
        <v>5.4670126019273534E-2</v>
      </c>
      <c r="T31" s="78">
        <f t="shared" si="35"/>
        <v>5.5516739446870453E-2</v>
      </c>
      <c r="U31" s="78">
        <f t="shared" si="35"/>
        <v>8.8358930681100095E-2</v>
      </c>
      <c r="V31" s="78">
        <f>AVERAGE(Q31:U31)</f>
        <v>6.0490358985103729E-2</v>
      </c>
      <c r="X31" s="181">
        <v>8.5000000000000006E-2</v>
      </c>
      <c r="Y31" s="181">
        <v>8.3000000000000004E-2</v>
      </c>
      <c r="Z31" s="181">
        <v>8.1000000000000003E-2</v>
      </c>
      <c r="AA31" s="181">
        <v>0.08</v>
      </c>
      <c r="AB31" s="181">
        <v>0.08</v>
      </c>
    </row>
    <row r="32" spans="1:28" x14ac:dyDescent="0.2">
      <c r="A32" s="70" t="s">
        <v>18</v>
      </c>
      <c r="B32" s="151" t="s">
        <v>111</v>
      </c>
      <c r="C32" s="3"/>
      <c r="D32" s="72">
        <f>D29+D30-D31</f>
        <v>3354</v>
      </c>
      <c r="E32" s="72">
        <f>E29+E30-E31</f>
        <v>4144</v>
      </c>
      <c r="F32" s="72">
        <f>F29+F30-F31</f>
        <v>4584</v>
      </c>
      <c r="G32" s="72">
        <f>G29+G30-G31</f>
        <v>5291</v>
      </c>
      <c r="H32" s="72">
        <f>H29+H30-H31</f>
        <v>4186</v>
      </c>
      <c r="I32" s="20"/>
      <c r="J32" s="72">
        <f>J29+J30-J31</f>
        <v>4535.2481850000004</v>
      </c>
      <c r="K32" s="72">
        <f>K29+K30-K31</f>
        <v>4977.1441620000005</v>
      </c>
      <c r="L32" s="72">
        <f>L29+L30-L31</f>
        <v>5484.1907235037506</v>
      </c>
      <c r="M32" s="72">
        <f>M29+M30-M31</f>
        <v>6019.233720918749</v>
      </c>
      <c r="N32" s="72">
        <f>N29+N30-N31</f>
        <v>6530.8685871968428</v>
      </c>
      <c r="O32" s="48"/>
      <c r="P32" s="72" t="s">
        <v>105</v>
      </c>
      <c r="Q32" s="89">
        <f t="shared" ref="Q32:V32" si="36">Q29+Q30-Q31</f>
        <v>0.12065182200798591</v>
      </c>
      <c r="R32" s="89">
        <f t="shared" si="36"/>
        <v>0.13542041109767655</v>
      </c>
      <c r="S32" s="89">
        <f t="shared" si="36"/>
        <v>0.14158636026686433</v>
      </c>
      <c r="T32" s="89">
        <f t="shared" si="36"/>
        <v>0.1540320232896652</v>
      </c>
      <c r="U32" s="89">
        <f t="shared" si="36"/>
        <v>0.11500947880319806</v>
      </c>
      <c r="V32" s="89">
        <f t="shared" si="36"/>
        <v>0.13334001909307802</v>
      </c>
      <c r="X32" s="89">
        <f>X29+X30-X31</f>
        <v>0.11700000000000001</v>
      </c>
      <c r="Y32" s="89">
        <f>Y29+Y30-Y31</f>
        <v>0.12000000000000001</v>
      </c>
      <c r="Z32" s="89">
        <f>Z29+Z30-Z31</f>
        <v>0.12300000000000001</v>
      </c>
      <c r="AA32" s="89">
        <f>AA29+AA30-AA31</f>
        <v>0.125</v>
      </c>
      <c r="AB32" s="89">
        <f>AB29+AB30-AB31</f>
        <v>0.125</v>
      </c>
    </row>
    <row r="33" spans="1:28" ht="12.75" thickBot="1" x14ac:dyDescent="0.25">
      <c r="A33" s="152" t="s">
        <v>102</v>
      </c>
      <c r="B33" s="30"/>
      <c r="C33" s="3"/>
      <c r="D33" s="74">
        <f>D23+D28+D32</f>
        <v>12030</v>
      </c>
      <c r="E33" s="74">
        <f t="shared" ref="E33:H33" si="37">E23+E28+E32</f>
        <v>13893</v>
      </c>
      <c r="F33" s="74">
        <f t="shared" si="37"/>
        <v>14295</v>
      </c>
      <c r="G33" s="74">
        <f t="shared" si="37"/>
        <v>15884</v>
      </c>
      <c r="H33" s="74">
        <f t="shared" si="37"/>
        <v>13286</v>
      </c>
      <c r="I33" s="20"/>
      <c r="J33" s="74">
        <f t="shared" ref="J33:N33" si="38">J23+J28+J32</f>
        <v>14354.259175000001</v>
      </c>
      <c r="K33" s="74">
        <f t="shared" si="38"/>
        <v>15074.85971995</v>
      </c>
      <c r="L33" s="74">
        <f t="shared" si="38"/>
        <v>15901.273031848748</v>
      </c>
      <c r="M33" s="74">
        <f t="shared" si="38"/>
        <v>16801.928744163997</v>
      </c>
      <c r="N33" s="74">
        <f t="shared" si="38"/>
        <v>17732.020738720366</v>
      </c>
      <c r="O33" s="48"/>
      <c r="P33" s="74" t="s">
        <v>105</v>
      </c>
      <c r="Q33" s="90">
        <f t="shared" ref="Q33:V33" si="39">Q23+Q28+Q32</f>
        <v>0.43274937947408182</v>
      </c>
      <c r="R33" s="90">
        <f t="shared" si="39"/>
        <v>0.45400477108591225</v>
      </c>
      <c r="S33" s="90">
        <f t="shared" si="39"/>
        <v>0.44153076352853959</v>
      </c>
      <c r="T33" s="90">
        <f t="shared" si="39"/>
        <v>0.46241630276564766</v>
      </c>
      <c r="U33" s="90">
        <f t="shared" si="39"/>
        <v>0.36503008489710681</v>
      </c>
      <c r="V33" s="90">
        <f t="shared" si="39"/>
        <v>0.4311462603502576</v>
      </c>
      <c r="X33" s="90">
        <f t="shared" ref="X33:AB33" si="40">X23+X28+X32</f>
        <v>0.37031012526054286</v>
      </c>
      <c r="Y33" s="90">
        <f t="shared" si="40"/>
        <v>0.36345806099116157</v>
      </c>
      <c r="Z33" s="90">
        <f t="shared" si="40"/>
        <v>0.35663540557317358</v>
      </c>
      <c r="AA33" s="90">
        <f t="shared" si="40"/>
        <v>0.34892167182701256</v>
      </c>
      <c r="AB33" s="90">
        <f t="shared" si="40"/>
        <v>0.33938863762858307</v>
      </c>
    </row>
    <row r="34" spans="1:28" ht="12.75" thickTop="1" x14ac:dyDescent="0.2">
      <c r="A34" s="41"/>
      <c r="B34" s="41"/>
      <c r="C34" s="3"/>
      <c r="D34" s="35"/>
      <c r="E34" s="35"/>
      <c r="F34" s="35"/>
      <c r="G34" s="35"/>
      <c r="H34" s="35"/>
      <c r="I34" s="20"/>
      <c r="J34" s="35"/>
      <c r="K34" s="35"/>
      <c r="L34" s="35"/>
      <c r="M34" s="35"/>
      <c r="N34" s="35"/>
      <c r="O34" s="48"/>
      <c r="P34" s="35"/>
      <c r="Q34" s="35"/>
      <c r="R34" s="35"/>
      <c r="S34" s="35"/>
      <c r="T34" s="35"/>
      <c r="U34" s="35"/>
      <c r="V34" s="35"/>
      <c r="X34" s="35"/>
      <c r="Y34" s="35"/>
      <c r="Z34" s="35"/>
      <c r="AA34" s="35"/>
      <c r="AB34" s="35"/>
    </row>
    <row r="35" spans="1:28" x14ac:dyDescent="0.2">
      <c r="A35" s="67"/>
      <c r="B35" s="3" t="str">
        <f>'Historical Data Input'!B31</f>
        <v>短期有利子負債</v>
      </c>
      <c r="C35" s="3"/>
      <c r="D35" s="35">
        <f>'Historical Data Input'!D31</f>
        <v>7</v>
      </c>
      <c r="E35" s="35">
        <f>'Historical Data Input'!E31</f>
        <v>107</v>
      </c>
      <c r="F35" s="35">
        <f>'Historical Data Input'!F31</f>
        <v>44</v>
      </c>
      <c r="G35" s="35">
        <f>'Historical Data Input'!G31</f>
        <v>6</v>
      </c>
      <c r="H35" s="35">
        <f>'Historical Data Input'!H31</f>
        <v>6</v>
      </c>
      <c r="I35" s="20"/>
      <c r="J35" s="35"/>
      <c r="K35" s="35"/>
      <c r="L35" s="35"/>
      <c r="M35" s="35"/>
      <c r="N35" s="35"/>
      <c r="O35" s="48"/>
      <c r="P35" s="35"/>
      <c r="Q35" s="35"/>
      <c r="R35" s="35"/>
      <c r="S35" s="35"/>
      <c r="T35" s="35"/>
      <c r="U35" s="35"/>
      <c r="V35" s="35"/>
      <c r="W35" s="48"/>
      <c r="X35" s="35"/>
      <c r="Y35" s="35"/>
      <c r="Z35" s="35"/>
      <c r="AA35" s="35"/>
      <c r="AB35" s="35"/>
    </row>
    <row r="36" spans="1:28" x14ac:dyDescent="0.2">
      <c r="A36" s="67"/>
      <c r="B36" s="3" t="str">
        <f>'Historical Data Input'!B35</f>
        <v>長期有利子負債</v>
      </c>
      <c r="C36" s="3"/>
      <c r="D36" s="35">
        <f>'Historical Data Input'!D35</f>
        <v>1199</v>
      </c>
      <c r="E36" s="35">
        <f>'Historical Data Input'!E35</f>
        <v>1079</v>
      </c>
      <c r="F36" s="35">
        <f>'Historical Data Input'!F35</f>
        <v>1993</v>
      </c>
      <c r="G36" s="35">
        <f>'Historical Data Input'!G35</f>
        <v>3471</v>
      </c>
      <c r="H36" s="35">
        <f>'Historical Data Input'!H35</f>
        <v>3468</v>
      </c>
      <c r="I36" s="20"/>
      <c r="J36" s="35"/>
      <c r="K36" s="35"/>
      <c r="L36" s="35"/>
      <c r="M36" s="35"/>
      <c r="N36" s="35"/>
      <c r="O36" s="48"/>
      <c r="P36" s="35"/>
      <c r="Q36" s="35"/>
      <c r="R36" s="35"/>
      <c r="S36" s="35"/>
      <c r="T36" s="35"/>
      <c r="U36" s="35"/>
      <c r="V36" s="35"/>
      <c r="W36" s="48"/>
      <c r="X36" s="35"/>
      <c r="Y36" s="35"/>
      <c r="Z36" s="35"/>
      <c r="AA36" s="35"/>
      <c r="AB36" s="35"/>
    </row>
    <row r="37" spans="1:28" x14ac:dyDescent="0.2">
      <c r="A37" s="70" t="s">
        <v>18</v>
      </c>
      <c r="B37" s="149" t="s">
        <v>112</v>
      </c>
      <c r="C37" s="3"/>
      <c r="D37" s="73">
        <f>SUM(D35:D36)</f>
        <v>1206</v>
      </c>
      <c r="E37" s="73">
        <f>SUM(E35:E36)</f>
        <v>1186</v>
      </c>
      <c r="F37" s="73">
        <f>SUM(F35:F36)</f>
        <v>2037</v>
      </c>
      <c r="G37" s="73">
        <f>SUM(G35:G36)</f>
        <v>3477</v>
      </c>
      <c r="H37" s="73">
        <f>SUM(H35:H36)</f>
        <v>3474</v>
      </c>
      <c r="I37" s="20"/>
      <c r="J37" s="35"/>
      <c r="K37" s="35"/>
      <c r="L37" s="35"/>
      <c r="M37" s="35"/>
      <c r="N37" s="35"/>
      <c r="O37" s="48"/>
      <c r="P37" s="35"/>
      <c r="Q37" s="35"/>
      <c r="R37" s="35"/>
      <c r="S37" s="35"/>
      <c r="T37" s="35"/>
      <c r="U37" s="35"/>
      <c r="V37" s="35"/>
      <c r="W37" s="48"/>
      <c r="X37" s="35"/>
      <c r="Y37" s="35"/>
      <c r="Z37" s="35"/>
      <c r="AA37" s="35"/>
      <c r="AB37" s="35"/>
    </row>
    <row r="38" spans="1:28" x14ac:dyDescent="0.2">
      <c r="A38" s="17" t="str">
        <f>'Historical Data Input'!A38</f>
        <v>少数株主持ち分</v>
      </c>
      <c r="B38" s="21"/>
      <c r="C38" s="3"/>
      <c r="D38" s="73">
        <f>'Historical Data Input'!D38</f>
        <v>0</v>
      </c>
      <c r="E38" s="73">
        <f>'Historical Data Input'!E38</f>
        <v>0</v>
      </c>
      <c r="F38" s="73">
        <f>'Historical Data Input'!F38</f>
        <v>0</v>
      </c>
      <c r="G38" s="73">
        <f>'Historical Data Input'!G38</f>
        <v>0</v>
      </c>
      <c r="H38" s="73">
        <f>'Historical Data Input'!H38</f>
        <v>0</v>
      </c>
      <c r="I38" s="20"/>
      <c r="J38" s="35"/>
      <c r="K38" s="35"/>
      <c r="L38" s="35"/>
      <c r="M38" s="35"/>
      <c r="N38" s="35"/>
      <c r="O38" s="48"/>
      <c r="P38" s="35"/>
      <c r="Q38" s="35"/>
      <c r="R38" s="35"/>
      <c r="S38" s="35"/>
      <c r="T38" s="35"/>
      <c r="U38" s="35"/>
      <c r="V38" s="35"/>
      <c r="W38" s="48"/>
      <c r="X38" s="35"/>
      <c r="Y38" s="35"/>
      <c r="Z38" s="35"/>
      <c r="AA38" s="35"/>
      <c r="AB38" s="35"/>
    </row>
    <row r="39" spans="1:28" x14ac:dyDescent="0.2">
      <c r="A39" s="41" t="str">
        <f>'Historical Data Input'!A43</f>
        <v>株主資本</v>
      </c>
      <c r="B39" s="3"/>
      <c r="C39" s="3"/>
      <c r="D39" s="73">
        <f>'Historical Data Input'!D43</f>
        <v>10824</v>
      </c>
      <c r="E39" s="73">
        <f>'Historical Data Input'!E43</f>
        <v>12707</v>
      </c>
      <c r="F39" s="73">
        <f>'Historical Data Input'!F43</f>
        <v>12258</v>
      </c>
      <c r="G39" s="73">
        <f>'Historical Data Input'!G43</f>
        <v>12407</v>
      </c>
      <c r="H39" s="73">
        <f>'Historical Data Input'!H43</f>
        <v>9812</v>
      </c>
      <c r="I39" s="20"/>
      <c r="J39" s="35"/>
      <c r="K39" s="35"/>
      <c r="L39" s="35"/>
      <c r="M39" s="35"/>
      <c r="N39" s="35"/>
      <c r="O39" s="48"/>
      <c r="P39" s="35"/>
      <c r="Q39" s="35"/>
      <c r="R39" s="35"/>
      <c r="S39" s="35"/>
      <c r="T39" s="35"/>
      <c r="U39" s="35"/>
      <c r="V39" s="35"/>
      <c r="W39" s="48"/>
      <c r="X39" s="35"/>
      <c r="Y39" s="35"/>
      <c r="Z39" s="35"/>
      <c r="AA39" s="35"/>
      <c r="AB39" s="35"/>
    </row>
    <row r="40" spans="1:28" ht="12.75" thickBot="1" x14ac:dyDescent="0.25">
      <c r="A40" s="152" t="s">
        <v>102</v>
      </c>
      <c r="B40" s="71"/>
      <c r="C40" s="3"/>
      <c r="D40" s="75">
        <f>D37+D38+D39</f>
        <v>12030</v>
      </c>
      <c r="E40" s="75">
        <f>E37+E38+E39</f>
        <v>13893</v>
      </c>
      <c r="F40" s="75">
        <f>F37+F38+F39</f>
        <v>14295</v>
      </c>
      <c r="G40" s="75">
        <f>G37+G38+G39</f>
        <v>15884</v>
      </c>
      <c r="H40" s="75">
        <f>H37+H38+H39</f>
        <v>13286</v>
      </c>
      <c r="I40" s="20"/>
      <c r="J40" s="35"/>
      <c r="K40" s="35"/>
      <c r="L40" s="35"/>
      <c r="M40" s="35"/>
      <c r="N40" s="35"/>
      <c r="O40" s="48"/>
      <c r="P40" s="35"/>
      <c r="Q40" s="35"/>
      <c r="R40" s="35"/>
      <c r="S40" s="35"/>
      <c r="T40" s="35"/>
      <c r="U40" s="35"/>
      <c r="V40" s="35"/>
      <c r="W40" s="48"/>
      <c r="X40" s="35"/>
      <c r="Y40" s="35"/>
      <c r="Z40" s="35"/>
      <c r="AA40" s="35"/>
      <c r="AB40" s="35"/>
    </row>
    <row r="41" spans="1:28" ht="12.75" thickTop="1" x14ac:dyDescent="0.2">
      <c r="A41" s="41"/>
      <c r="B41" s="3"/>
      <c r="C41" s="3"/>
      <c r="D41" s="35"/>
      <c r="E41" s="35"/>
      <c r="F41" s="35"/>
      <c r="G41" s="35"/>
      <c r="H41" s="35"/>
      <c r="I41" s="20"/>
      <c r="J41" s="35"/>
      <c r="K41" s="35"/>
      <c r="L41" s="35"/>
      <c r="M41" s="35"/>
      <c r="N41" s="35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</row>
    <row r="42" spans="1:28" x14ac:dyDescent="0.2">
      <c r="A42" s="3"/>
      <c r="B42" s="153"/>
      <c r="C42" s="3"/>
      <c r="D42" s="35"/>
      <c r="E42" s="35"/>
      <c r="F42" s="35"/>
      <c r="G42" s="35"/>
      <c r="H42" s="35"/>
      <c r="I42" s="20"/>
      <c r="J42" s="35"/>
      <c r="K42" s="35"/>
      <c r="L42" s="35"/>
      <c r="M42" s="35"/>
      <c r="N42" s="35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</row>
    <row r="43" spans="1:28" x14ac:dyDescent="0.2">
      <c r="A43" s="3"/>
      <c r="B43" s="3"/>
      <c r="C43" s="3"/>
      <c r="D43" s="35"/>
      <c r="E43" s="35"/>
      <c r="F43" s="35"/>
      <c r="G43" s="35"/>
      <c r="H43" s="35"/>
      <c r="I43" s="20"/>
      <c r="J43" s="35"/>
      <c r="K43" s="35"/>
      <c r="L43" s="35"/>
      <c r="M43" s="35"/>
      <c r="N43" s="35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</row>
    <row r="44" spans="1:28" x14ac:dyDescent="0.2">
      <c r="A44" s="153" t="s">
        <v>113</v>
      </c>
      <c r="B44" s="3"/>
      <c r="C44" s="3"/>
      <c r="D44" s="35">
        <f>D37-D23</f>
        <v>-3936</v>
      </c>
      <c r="E44" s="35">
        <f t="shared" ref="E44:I44" si="41">E37-E23</f>
        <v>-4738</v>
      </c>
      <c r="F44" s="35">
        <f t="shared" si="41"/>
        <v>-3420</v>
      </c>
      <c r="G44" s="35">
        <f t="shared" si="41"/>
        <v>-2702</v>
      </c>
      <c r="H44" s="35">
        <f t="shared" si="41"/>
        <v>-1771</v>
      </c>
      <c r="I44" s="35">
        <f t="shared" si="41"/>
        <v>0</v>
      </c>
      <c r="J44" s="35"/>
      <c r="K44" s="35"/>
      <c r="L44" s="35"/>
      <c r="M44" s="35"/>
      <c r="N44" s="35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</row>
    <row r="46" spans="1:28" x14ac:dyDescent="0.2">
      <c r="A46" s="47"/>
      <c r="B46" s="47"/>
      <c r="C46" s="3"/>
      <c r="D46" s="35"/>
      <c r="E46" s="35"/>
      <c r="F46" s="35"/>
      <c r="G46" s="35"/>
      <c r="H46" s="35"/>
      <c r="I46" s="20"/>
      <c r="J46" s="35"/>
      <c r="K46" s="35"/>
      <c r="L46" s="48"/>
      <c r="M46" s="48"/>
      <c r="N46" s="48"/>
      <c r="O46" s="48"/>
      <c r="P46" s="48"/>
    </row>
    <row r="47" spans="1:28" ht="14.25" x14ac:dyDescent="0.2">
      <c r="A47" s="133" t="s">
        <v>114</v>
      </c>
      <c r="B47" s="48"/>
      <c r="C47" s="3"/>
      <c r="D47" s="132" t="s">
        <v>103</v>
      </c>
      <c r="E47" s="9"/>
      <c r="F47" s="9"/>
      <c r="G47" s="9"/>
      <c r="H47" s="9"/>
      <c r="J47" s="132" t="s">
        <v>107</v>
      </c>
      <c r="K47" s="9"/>
      <c r="L47" s="9"/>
      <c r="M47" s="9"/>
      <c r="N47" s="9"/>
      <c r="O47" s="48"/>
      <c r="P47" s="48"/>
    </row>
    <row r="48" spans="1:28" ht="15.75" thickBot="1" x14ac:dyDescent="0.3">
      <c r="A48" s="4"/>
      <c r="B48" s="48"/>
      <c r="C48" s="3"/>
      <c r="D48" s="65">
        <f>D71</f>
        <v>2014</v>
      </c>
      <c r="E48" s="65">
        <f>E71</f>
        <v>2015</v>
      </c>
      <c r="F48" s="65">
        <f>F71</f>
        <v>2016</v>
      </c>
      <c r="G48" s="65">
        <f>G71</f>
        <v>2017</v>
      </c>
      <c r="H48" s="65">
        <f>H71</f>
        <v>2018</v>
      </c>
      <c r="I48" s="66"/>
      <c r="J48" s="65">
        <f>H48+1</f>
        <v>2019</v>
      </c>
      <c r="K48" s="65">
        <f>+J48+1</f>
        <v>2020</v>
      </c>
      <c r="L48" s="65">
        <f>+K48+1</f>
        <v>2021</v>
      </c>
      <c r="M48" s="65">
        <f>+L48+1</f>
        <v>2022</v>
      </c>
      <c r="N48" s="65">
        <f>+M48+1</f>
        <v>2023</v>
      </c>
      <c r="O48" s="48"/>
      <c r="P48" s="48"/>
    </row>
    <row r="49" spans="1:16" ht="15.75" thickTop="1" x14ac:dyDescent="0.25">
      <c r="A49" s="4"/>
      <c r="B49" s="48"/>
      <c r="C49" s="3"/>
      <c r="D49" s="35"/>
      <c r="E49" s="35"/>
      <c r="F49" s="35"/>
      <c r="G49" s="35"/>
      <c r="H49" s="35"/>
      <c r="I49" s="20"/>
      <c r="J49" s="35"/>
      <c r="K49" s="35"/>
      <c r="L49" s="48"/>
      <c r="M49" s="48"/>
      <c r="N49" s="48"/>
      <c r="O49" s="48"/>
      <c r="P49" s="48"/>
    </row>
    <row r="50" spans="1:16" ht="15" x14ac:dyDescent="0.25">
      <c r="A50" s="4"/>
      <c r="B50" s="85" t="str">
        <f>B73</f>
        <v>NOPAT</v>
      </c>
      <c r="C50" s="3"/>
      <c r="D50" s="35">
        <f>D14</f>
        <v>2844.1083521444693</v>
      </c>
      <c r="E50" s="35">
        <f>E14</f>
        <v>3249.6492271105826</v>
      </c>
      <c r="F50" s="35">
        <f>F14</f>
        <v>3661.5877136058834</v>
      </c>
      <c r="G50" s="35">
        <f>G14</f>
        <v>4121.1133851821533</v>
      </c>
      <c r="H50" s="35">
        <f>H14</f>
        <v>1986.6323699421969</v>
      </c>
      <c r="I50" s="20"/>
      <c r="J50" s="35">
        <f>J14</f>
        <v>3634.012968749998</v>
      </c>
      <c r="K50" s="35">
        <f>K14</f>
        <v>4043.9296316250002</v>
      </c>
      <c r="L50" s="35">
        <f>L14</f>
        <v>4514.4252906890597</v>
      </c>
      <c r="M50" s="35">
        <f>M14</f>
        <v>4875.5793139441848</v>
      </c>
      <c r="N50" s="35">
        <f>N14</f>
        <v>5290.0035556294415</v>
      </c>
      <c r="O50" s="48"/>
      <c r="P50" s="48"/>
    </row>
    <row r="51" spans="1:16" x14ac:dyDescent="0.2">
      <c r="A51" s="2" t="s">
        <v>2</v>
      </c>
      <c r="B51" s="154" t="str">
        <f>B10</f>
        <v>減価償却費</v>
      </c>
      <c r="D51" s="26">
        <f>D10</f>
        <v>518</v>
      </c>
      <c r="E51" s="26">
        <f>E10</f>
        <v>606</v>
      </c>
      <c r="F51" s="26">
        <f>F10</f>
        <v>649</v>
      </c>
      <c r="G51" s="26">
        <f>G10</f>
        <v>706</v>
      </c>
      <c r="H51" s="26">
        <f>H10</f>
        <v>747</v>
      </c>
      <c r="I51" s="19"/>
      <c r="J51" s="26">
        <f>J10</f>
        <v>775.25610000000006</v>
      </c>
      <c r="K51" s="26">
        <f>K10</f>
        <v>829.52402700000005</v>
      </c>
      <c r="L51" s="26">
        <f>L10</f>
        <v>891.73832902499998</v>
      </c>
      <c r="M51" s="26">
        <f>M10</f>
        <v>963.07739534699999</v>
      </c>
      <c r="N51" s="26">
        <f>N10</f>
        <v>1044.938973951495</v>
      </c>
    </row>
    <row r="52" spans="1:16" x14ac:dyDescent="0.2">
      <c r="A52" s="2" t="s">
        <v>1</v>
      </c>
      <c r="B52" s="138" t="s">
        <v>137</v>
      </c>
      <c r="D52" s="26"/>
      <c r="E52" s="26">
        <f>E23-D23</f>
        <v>782</v>
      </c>
      <c r="F52" s="26">
        <f>F23-E23</f>
        <v>-467</v>
      </c>
      <c r="G52" s="26">
        <f>G23-F23</f>
        <v>722</v>
      </c>
      <c r="H52" s="26">
        <f>H23-G23</f>
        <v>-934</v>
      </c>
      <c r="I52" s="26"/>
      <c r="J52" s="26">
        <f>J23-H23</f>
        <v>0</v>
      </c>
      <c r="K52" s="26">
        <f>K23-J23</f>
        <v>0</v>
      </c>
      <c r="L52" s="26">
        <f t="shared" ref="L52:N52" si="42">L23-K23</f>
        <v>0</v>
      </c>
      <c r="M52" s="26">
        <f t="shared" si="42"/>
        <v>0</v>
      </c>
      <c r="N52" s="26">
        <f t="shared" si="42"/>
        <v>0</v>
      </c>
    </row>
    <row r="53" spans="1:16" x14ac:dyDescent="0.2">
      <c r="A53" s="2" t="s">
        <v>1</v>
      </c>
      <c r="B53" s="138" t="s">
        <v>138</v>
      </c>
      <c r="D53" s="26"/>
      <c r="E53" s="26">
        <f>E24-D24</f>
        <v>-76</v>
      </c>
      <c r="F53" s="26">
        <f t="shared" ref="F53:H53" si="43">F24-E24</f>
        <v>-117</v>
      </c>
      <c r="G53" s="26">
        <f t="shared" si="43"/>
        <v>436</v>
      </c>
      <c r="H53" s="26">
        <f t="shared" si="43"/>
        <v>-179</v>
      </c>
      <c r="I53" s="19"/>
      <c r="J53" s="26">
        <f>J24-H24</f>
        <v>378.2805000000003</v>
      </c>
      <c r="K53" s="26">
        <f>K24-J24</f>
        <v>271.33963499999982</v>
      </c>
      <c r="L53" s="26">
        <f t="shared" ref="L53:N55" si="44">L24-K24</f>
        <v>311.0715101249998</v>
      </c>
      <c r="M53" s="26">
        <f t="shared" si="44"/>
        <v>356.69533160999981</v>
      </c>
      <c r="N53" s="26">
        <f t="shared" si="44"/>
        <v>409.30789302247558</v>
      </c>
    </row>
    <row r="54" spans="1:16" x14ac:dyDescent="0.2">
      <c r="A54" s="2" t="s">
        <v>1</v>
      </c>
      <c r="B54" s="138" t="s">
        <v>139</v>
      </c>
      <c r="D54" s="26"/>
      <c r="E54" s="26">
        <f>E25-D25</f>
        <v>390</v>
      </c>
      <c r="F54" s="26">
        <f t="shared" ref="F54:H55" si="45">F25-E25</f>
        <v>501</v>
      </c>
      <c r="G54" s="26">
        <f t="shared" si="45"/>
        <v>217</v>
      </c>
      <c r="H54" s="26">
        <f t="shared" si="45"/>
        <v>206</v>
      </c>
      <c r="I54" s="19"/>
      <c r="J54" s="26">
        <f>J25-H25</f>
        <v>320.84391999999934</v>
      </c>
      <c r="K54" s="26">
        <f>K25-J25</f>
        <v>349.25287305000074</v>
      </c>
      <c r="L54" s="26">
        <f t="shared" si="44"/>
        <v>400.24534302749908</v>
      </c>
      <c r="M54" s="26">
        <f t="shared" si="44"/>
        <v>458.35350111884964</v>
      </c>
      <c r="N54" s="26">
        <f t="shared" si="44"/>
        <v>524.87718046411646</v>
      </c>
    </row>
    <row r="55" spans="1:16" x14ac:dyDescent="0.2">
      <c r="A55" s="2" t="s">
        <v>1</v>
      </c>
      <c r="B55" s="138" t="s">
        <v>140</v>
      </c>
      <c r="D55" s="26"/>
      <c r="E55" s="26">
        <f>E26-D26</f>
        <v>1184</v>
      </c>
      <c r="F55" s="26">
        <f t="shared" si="45"/>
        <v>-868</v>
      </c>
      <c r="G55" s="26">
        <f t="shared" si="45"/>
        <v>-339</v>
      </c>
      <c r="H55" s="26">
        <f t="shared" si="45"/>
        <v>-20</v>
      </c>
      <c r="I55" s="19"/>
      <c r="J55" s="26">
        <f>J26-H26</f>
        <v>420.51220000000012</v>
      </c>
      <c r="K55" s="26">
        <f>K26-J26</f>
        <v>108.53585399999997</v>
      </c>
      <c r="L55" s="26">
        <f t="shared" si="44"/>
        <v>124.42860404999988</v>
      </c>
      <c r="M55" s="26">
        <f t="shared" si="44"/>
        <v>142.67813264400002</v>
      </c>
      <c r="N55" s="26">
        <f t="shared" si="44"/>
        <v>163.72315720898996</v>
      </c>
    </row>
    <row r="56" spans="1:16" x14ac:dyDescent="0.2">
      <c r="A56" s="21" t="s">
        <v>27</v>
      </c>
      <c r="B56" s="139" t="s">
        <v>141</v>
      </c>
      <c r="D56" s="26"/>
      <c r="E56" s="84">
        <f>E31-D31+E27-D27</f>
        <v>1143</v>
      </c>
      <c r="F56" s="84">
        <f>F31-E31+F27-E27</f>
        <v>-623</v>
      </c>
      <c r="G56" s="84">
        <f>G31-F31+G27-F27</f>
        <v>291</v>
      </c>
      <c r="H56" s="84">
        <f>H31-G31+H27-G27</f>
        <v>1875</v>
      </c>
      <c r="I56" s="19"/>
      <c r="J56" s="84">
        <f>J31-H31+J27-H27</f>
        <v>479.46405500000037</v>
      </c>
      <c r="K56" s="84">
        <f>K31-J31+K27-J27</f>
        <v>598.11008115000004</v>
      </c>
      <c r="L56" s="84">
        <f>L31-K31+L27-K27</f>
        <v>685.39422730874958</v>
      </c>
      <c r="M56" s="84">
        <f>M31-L31+M27-L27</f>
        <v>832.88359930934985</v>
      </c>
      <c r="N56" s="84">
        <f>N31-M31+N27-M27</f>
        <v>1006.8974168352897</v>
      </c>
    </row>
    <row r="57" spans="1:16" x14ac:dyDescent="0.2">
      <c r="A57" s="13" t="s">
        <v>4</v>
      </c>
      <c r="B57" s="31" t="s">
        <v>115</v>
      </c>
      <c r="D57" s="26"/>
      <c r="E57" s="14">
        <f>E50+E51-E52-E53-E54-E55+E56</f>
        <v>2718.6492271105826</v>
      </c>
      <c r="F57" s="14">
        <f t="shared" ref="F57:H57" si="46">F50+F51-F52-F53-F54-F55+F56</f>
        <v>4638.5877136058834</v>
      </c>
      <c r="G57" s="14">
        <f t="shared" si="46"/>
        <v>4082.1133851821533</v>
      </c>
      <c r="H57" s="14">
        <f t="shared" si="46"/>
        <v>5535.6323699421973</v>
      </c>
      <c r="I57" s="19"/>
      <c r="J57" s="14">
        <f t="shared" ref="J57:N57" si="47">J50+J51-J52-J53-J54-J55+J56</f>
        <v>3769.0965037499986</v>
      </c>
      <c r="K57" s="14">
        <f t="shared" si="47"/>
        <v>4742.4353777250008</v>
      </c>
      <c r="L57" s="14">
        <f t="shared" si="47"/>
        <v>5255.8123898203103</v>
      </c>
      <c r="M57" s="14">
        <f t="shared" si="47"/>
        <v>5713.8133432276854</v>
      </c>
      <c r="N57" s="14">
        <f t="shared" si="47"/>
        <v>6243.9317157206433</v>
      </c>
    </row>
    <row r="58" spans="1:16" x14ac:dyDescent="0.2">
      <c r="A58" s="13"/>
      <c r="B58" s="13"/>
      <c r="D58" s="26"/>
      <c r="E58" s="26"/>
      <c r="F58" s="26"/>
      <c r="G58" s="26"/>
      <c r="H58" s="26"/>
      <c r="I58" s="19"/>
      <c r="J58" s="26"/>
      <c r="K58" s="26"/>
    </row>
    <row r="59" spans="1:16" x14ac:dyDescent="0.2">
      <c r="A59" s="2"/>
      <c r="B59" s="138" t="s">
        <v>142</v>
      </c>
      <c r="D59" s="26"/>
      <c r="E59" s="26">
        <f>E29-D29+E51</f>
        <v>783</v>
      </c>
      <c r="F59" s="26">
        <f>F29-E29+F51</f>
        <v>1158</v>
      </c>
      <c r="G59" s="26">
        <f>G29-F29+G51</f>
        <v>1175</v>
      </c>
      <c r="H59" s="26">
        <f>H29-G29+H51</f>
        <v>1212</v>
      </c>
      <c r="I59" s="19"/>
      <c r="J59" s="26">
        <f>J29-H29+J51</f>
        <v>972.79269999999951</v>
      </c>
      <c r="K59" s="26">
        <f>K29-J29+K51</f>
        <v>1155.131589000001</v>
      </c>
      <c r="L59" s="26">
        <f>L29-K29+L51</f>
        <v>1265.0241411749994</v>
      </c>
      <c r="M59" s="26">
        <f>M29-L29+M51</f>
        <v>1391.1117932789996</v>
      </c>
      <c r="N59" s="26">
        <f>N29-M29+N51</f>
        <v>1536.1084455784653</v>
      </c>
    </row>
    <row r="60" spans="1:16" x14ac:dyDescent="0.2">
      <c r="A60" s="21" t="s">
        <v>27</v>
      </c>
      <c r="B60" s="139" t="s">
        <v>143</v>
      </c>
      <c r="D60" s="26"/>
      <c r="E60" s="84">
        <f>E30-D30</f>
        <v>549</v>
      </c>
      <c r="F60" s="84">
        <f>F30-E30</f>
        <v>221</v>
      </c>
      <c r="G60" s="84">
        <f>G30-F30</f>
        <v>375</v>
      </c>
      <c r="H60" s="84">
        <f>H30-G30</f>
        <v>-261</v>
      </c>
      <c r="I60" s="19"/>
      <c r="J60" s="84">
        <f>J30-H30</f>
        <v>230.55001000000038</v>
      </c>
      <c r="K60" s="84">
        <f>K30-J30</f>
        <v>263.97470204999991</v>
      </c>
      <c r="L60" s="84">
        <f>L30-K30</f>
        <v>302.77626985500001</v>
      </c>
      <c r="M60" s="84">
        <f>M30-L30</f>
        <v>347.77794831975007</v>
      </c>
      <c r="N60" s="84">
        <f>N30-M30</f>
        <v>347.91170906910338</v>
      </c>
    </row>
    <row r="61" spans="1:16" x14ac:dyDescent="0.2">
      <c r="A61" s="13" t="s">
        <v>4</v>
      </c>
      <c r="B61" s="31" t="s">
        <v>116</v>
      </c>
      <c r="D61" s="26"/>
      <c r="E61" s="19">
        <f>SUM(E59:E60)</f>
        <v>1332</v>
      </c>
      <c r="F61" s="19">
        <f>SUM(F59:F60)</f>
        <v>1379</v>
      </c>
      <c r="G61" s="19">
        <f>SUM(G59:G60)</f>
        <v>1550</v>
      </c>
      <c r="H61" s="19">
        <f>SUM(H59:H60)</f>
        <v>951</v>
      </c>
      <c r="I61" s="19"/>
      <c r="J61" s="19">
        <f>SUM(J59:J60)</f>
        <v>1203.3427099999999</v>
      </c>
      <c r="K61" s="19">
        <f>SUM(K59:K60)</f>
        <v>1419.1062910500009</v>
      </c>
      <c r="L61" s="19">
        <f>SUM(L59:L60)</f>
        <v>1567.8004110299994</v>
      </c>
      <c r="M61" s="19">
        <f>SUM(M59:M60)</f>
        <v>1738.8897415987497</v>
      </c>
      <c r="N61" s="19">
        <f>SUM(N59:N60)</f>
        <v>1884.0201546475687</v>
      </c>
    </row>
    <row r="62" spans="1:16" x14ac:dyDescent="0.2">
      <c r="A62" s="13"/>
      <c r="B62" s="2"/>
      <c r="D62" s="26"/>
      <c r="E62" s="26"/>
      <c r="F62" s="26"/>
      <c r="G62" s="26"/>
      <c r="H62" s="26"/>
      <c r="I62" s="19"/>
      <c r="J62" s="26"/>
      <c r="K62" s="26"/>
    </row>
    <row r="63" spans="1:16" ht="12.75" thickBot="1" x14ac:dyDescent="0.25">
      <c r="A63" s="30"/>
      <c r="B63" s="152" t="s">
        <v>117</v>
      </c>
      <c r="D63" s="26"/>
      <c r="E63" s="37">
        <f>E57-E61</f>
        <v>1386.6492271105826</v>
      </c>
      <c r="F63" s="37">
        <f>F57-F61</f>
        <v>3259.5877136058834</v>
      </c>
      <c r="G63" s="37">
        <f>G57-G61</f>
        <v>2532.1133851821533</v>
      </c>
      <c r="H63" s="37">
        <f>H57-H61</f>
        <v>4584.6323699421973</v>
      </c>
      <c r="I63" s="19"/>
      <c r="J63" s="37">
        <f>J57-J61</f>
        <v>2565.7537937499987</v>
      </c>
      <c r="K63" s="37">
        <f>K57-K61</f>
        <v>3323.3290866749999</v>
      </c>
      <c r="L63" s="37">
        <f>L57-L61</f>
        <v>3688.0119787903109</v>
      </c>
      <c r="M63" s="37">
        <f>M57-M61</f>
        <v>3974.923601628936</v>
      </c>
      <c r="N63" s="37">
        <f>N57-N61</f>
        <v>4359.9115610730751</v>
      </c>
    </row>
    <row r="64" spans="1:16" ht="12.75" thickTop="1" x14ac:dyDescent="0.2">
      <c r="A64" s="1" t="s">
        <v>118</v>
      </c>
      <c r="D64" s="26"/>
      <c r="E64" s="26"/>
      <c r="F64" s="87">
        <f>F63/E63-1</f>
        <v>1.3506937802850247</v>
      </c>
      <c r="G64" s="87">
        <f>G63/F63-1</f>
        <v>-0.22317985964518494</v>
      </c>
      <c r="H64" s="87">
        <f>H63/G63-1</f>
        <v>0.81059521140377044</v>
      </c>
      <c r="I64" s="19"/>
      <c r="J64" s="87">
        <f>J63/H63-1</f>
        <v>-0.44035778952057014</v>
      </c>
      <c r="K64" s="87">
        <f>K63/J63-1</f>
        <v>0.29526422011745734</v>
      </c>
      <c r="L64" s="87">
        <f>L63/K63-1</f>
        <v>0.10973421006590023</v>
      </c>
      <c r="M64" s="87">
        <f>M63/L63-1</f>
        <v>7.7795740493427967E-2</v>
      </c>
      <c r="N64" s="87">
        <f>N63/M63-1</f>
        <v>9.6854178351093223E-2</v>
      </c>
    </row>
    <row r="65" spans="1:26" x14ac:dyDescent="0.2">
      <c r="A65" s="40" t="s">
        <v>119</v>
      </c>
      <c r="D65" s="26"/>
      <c r="E65" s="26">
        <f>E50-E63</f>
        <v>1863</v>
      </c>
      <c r="F65" s="26">
        <f>F50-F63</f>
        <v>402</v>
      </c>
      <c r="G65" s="26">
        <f>G50-G63</f>
        <v>1589</v>
      </c>
      <c r="H65" s="26">
        <f>H50-H63</f>
        <v>-2598.0000000000005</v>
      </c>
      <c r="I65" s="19"/>
      <c r="J65" s="26">
        <f>J50-J63</f>
        <v>1068.2591749999992</v>
      </c>
      <c r="K65" s="26">
        <f>K50-K63</f>
        <v>720.60054495000031</v>
      </c>
      <c r="L65" s="26">
        <f>L50-L63</f>
        <v>826.41331189874882</v>
      </c>
      <c r="M65" s="26">
        <f>M50-M63</f>
        <v>900.65571231524882</v>
      </c>
      <c r="N65" s="26">
        <f>N50-N63</f>
        <v>930.09199455636644</v>
      </c>
    </row>
    <row r="66" spans="1:26" x14ac:dyDescent="0.2">
      <c r="D66" s="26"/>
      <c r="E66" s="26"/>
      <c r="F66" s="26"/>
      <c r="G66" s="26"/>
      <c r="H66" s="26"/>
      <c r="I66" s="19"/>
      <c r="J66" s="26"/>
      <c r="K66" s="26"/>
    </row>
    <row r="67" spans="1:26" hidden="1" outlineLevel="1" x14ac:dyDescent="0.2">
      <c r="B67" s="131" t="s">
        <v>124</v>
      </c>
      <c r="D67" s="26"/>
      <c r="E67" s="26">
        <f>E33-D33-E65</f>
        <v>0</v>
      </c>
      <c r="F67" s="26">
        <f>F33-E33-F65</f>
        <v>0</v>
      </c>
      <c r="G67" s="26">
        <f>G33-F33-G65</f>
        <v>0</v>
      </c>
      <c r="H67" s="26">
        <f>H33-G33-H65</f>
        <v>0</v>
      </c>
      <c r="I67" s="19"/>
      <c r="J67" s="26">
        <f>J33-H33-J65</f>
        <v>1.8189894035458565E-12</v>
      </c>
      <c r="K67" s="26">
        <f>K33-J33-K65</f>
        <v>-1.3642420526593924E-12</v>
      </c>
      <c r="L67" s="26">
        <f>L33-K33-L65</f>
        <v>0</v>
      </c>
      <c r="M67" s="26">
        <f>M33-L33-M65</f>
        <v>0</v>
      </c>
      <c r="N67" s="26">
        <f>N33-M33-N65</f>
        <v>2.7284841053187847E-12</v>
      </c>
    </row>
    <row r="68" spans="1:26" collapsed="1" x14ac:dyDescent="0.2">
      <c r="D68" s="26"/>
      <c r="E68" s="26"/>
      <c r="F68" s="26"/>
      <c r="G68" s="26"/>
      <c r="H68" s="26"/>
      <c r="I68" s="19"/>
      <c r="J68" s="26"/>
      <c r="K68" s="26"/>
    </row>
    <row r="69" spans="1:26" x14ac:dyDescent="0.2">
      <c r="D69" s="26"/>
      <c r="E69" s="26"/>
      <c r="F69" s="26"/>
      <c r="G69" s="26"/>
      <c r="H69" s="26"/>
      <c r="I69" s="19"/>
      <c r="J69" s="26"/>
      <c r="K69" s="26"/>
    </row>
    <row r="70" spans="1:26" ht="15" x14ac:dyDescent="0.25">
      <c r="A70" s="4" t="s">
        <v>9</v>
      </c>
      <c r="B70" s="3"/>
      <c r="C70" s="3"/>
      <c r="D70" s="132" t="s">
        <v>103</v>
      </c>
      <c r="E70" s="9"/>
      <c r="F70" s="9"/>
      <c r="G70" s="9"/>
      <c r="H70" s="9"/>
      <c r="J70" s="132" t="s">
        <v>107</v>
      </c>
      <c r="K70" s="9"/>
      <c r="L70" s="9"/>
      <c r="M70" s="9"/>
      <c r="N70" s="9"/>
      <c r="O70" s="48"/>
      <c r="P70" s="48"/>
    </row>
    <row r="71" spans="1:26" ht="15.75" thickBot="1" x14ac:dyDescent="0.3">
      <c r="A71" s="4"/>
      <c r="B71" s="3"/>
      <c r="C71" s="3"/>
      <c r="D71" s="65">
        <f>D18</f>
        <v>2014</v>
      </c>
      <c r="E71" s="65">
        <f>E18</f>
        <v>2015</v>
      </c>
      <c r="F71" s="65">
        <f>F18</f>
        <v>2016</v>
      </c>
      <c r="G71" s="65">
        <f>G18</f>
        <v>2017</v>
      </c>
      <c r="H71" s="65">
        <f>H18</f>
        <v>2018</v>
      </c>
      <c r="I71" s="66"/>
      <c r="J71" s="65">
        <f>H71+1</f>
        <v>2019</v>
      </c>
      <c r="K71" s="65">
        <f>+J71+1</f>
        <v>2020</v>
      </c>
      <c r="L71" s="65">
        <f>+K71+1</f>
        <v>2021</v>
      </c>
      <c r="M71" s="65">
        <f>+L71+1</f>
        <v>2022</v>
      </c>
      <c r="N71" s="65">
        <f>+M71+1</f>
        <v>2023</v>
      </c>
      <c r="O71" s="48"/>
      <c r="P71" s="48"/>
    </row>
    <row r="72" spans="1:26" ht="15.75" thickTop="1" x14ac:dyDescent="0.25">
      <c r="A72" s="4"/>
      <c r="B72" s="3"/>
      <c r="C72" s="3"/>
      <c r="D72" s="35"/>
      <c r="E72" s="35"/>
      <c r="F72" s="35"/>
      <c r="G72" s="35"/>
      <c r="H72" s="35"/>
      <c r="I72" s="20"/>
      <c r="J72" s="35"/>
      <c r="K72" s="35"/>
      <c r="L72" s="35"/>
      <c r="M72" s="35"/>
      <c r="N72" s="35"/>
      <c r="O72" s="48"/>
      <c r="P72" s="48"/>
    </row>
    <row r="73" spans="1:26" x14ac:dyDescent="0.2">
      <c r="A73" s="41"/>
      <c r="B73" s="80" t="str">
        <f>B14</f>
        <v>NOPAT</v>
      </c>
      <c r="C73" s="3"/>
      <c r="D73" s="35"/>
      <c r="E73" s="35">
        <f>E14</f>
        <v>3249.6492271105826</v>
      </c>
      <c r="F73" s="35">
        <f>F14</f>
        <v>3661.5877136058834</v>
      </c>
      <c r="G73" s="35">
        <f>G14</f>
        <v>4121.1133851821533</v>
      </c>
      <c r="H73" s="35">
        <f>H14</f>
        <v>1986.6323699421969</v>
      </c>
      <c r="I73" s="20"/>
      <c r="J73" s="35">
        <f>J14</f>
        <v>3634.012968749998</v>
      </c>
      <c r="K73" s="35">
        <f>K14</f>
        <v>4043.9296316250002</v>
      </c>
      <c r="L73" s="35">
        <f>L14</f>
        <v>4514.4252906890597</v>
      </c>
      <c r="M73" s="35">
        <f>M14</f>
        <v>4875.5793139441848</v>
      </c>
      <c r="N73" s="35">
        <f>N14</f>
        <v>5290.0035556294415</v>
      </c>
      <c r="O73" s="48"/>
      <c r="P73" s="48"/>
    </row>
    <row r="74" spans="1:26" x14ac:dyDescent="0.2">
      <c r="A74" s="41"/>
      <c r="B74" s="153" t="s">
        <v>120</v>
      </c>
      <c r="C74" s="3"/>
      <c r="D74" s="35"/>
      <c r="E74" s="35">
        <f>D33</f>
        <v>12030</v>
      </c>
      <c r="F74" s="35">
        <f>E33</f>
        <v>13893</v>
      </c>
      <c r="G74" s="35">
        <f>F33</f>
        <v>14295</v>
      </c>
      <c r="H74" s="35">
        <f>G33</f>
        <v>15884</v>
      </c>
      <c r="I74" s="20"/>
      <c r="J74" s="35">
        <f>H33</f>
        <v>13286</v>
      </c>
      <c r="K74" s="35">
        <f>J33</f>
        <v>14354.259175000001</v>
      </c>
      <c r="L74" s="35">
        <f>K33</f>
        <v>15074.85971995</v>
      </c>
      <c r="M74" s="35">
        <f>L33</f>
        <v>15901.273031848748</v>
      </c>
      <c r="N74" s="35">
        <f>M33</f>
        <v>16801.928744163997</v>
      </c>
      <c r="O74" s="48"/>
      <c r="P74" s="48"/>
    </row>
    <row r="75" spans="1:26" x14ac:dyDescent="0.2">
      <c r="A75" s="41"/>
      <c r="B75" s="3" t="s">
        <v>22</v>
      </c>
      <c r="C75" s="3"/>
      <c r="D75" s="35"/>
      <c r="E75" s="78">
        <f>WACC!C23</f>
        <v>7.02814111173546E-2</v>
      </c>
      <c r="F75" s="78">
        <f>E75</f>
        <v>7.02814111173546E-2</v>
      </c>
      <c r="G75" s="78">
        <f>F75</f>
        <v>7.02814111173546E-2</v>
      </c>
      <c r="H75" s="78">
        <f>G75</f>
        <v>7.02814111173546E-2</v>
      </c>
      <c r="I75" s="81"/>
      <c r="J75" s="78">
        <f>H75</f>
        <v>7.02814111173546E-2</v>
      </c>
      <c r="K75" s="78">
        <f>J75</f>
        <v>7.02814111173546E-2</v>
      </c>
      <c r="L75" s="78">
        <f>K75</f>
        <v>7.02814111173546E-2</v>
      </c>
      <c r="M75" s="78">
        <f>L75</f>
        <v>7.02814111173546E-2</v>
      </c>
      <c r="N75" s="78">
        <f>M75</f>
        <v>7.02814111173546E-2</v>
      </c>
      <c r="O75" s="48"/>
      <c r="P75" s="48"/>
    </row>
    <row r="76" spans="1:26" x14ac:dyDescent="0.2">
      <c r="A76" s="41" t="s">
        <v>23</v>
      </c>
      <c r="B76" s="153" t="s">
        <v>121</v>
      </c>
      <c r="C76" s="3"/>
      <c r="D76" s="35"/>
      <c r="E76" s="35">
        <f>E74*E75</f>
        <v>845.4853757417759</v>
      </c>
      <c r="F76" s="35">
        <f>F74*F75</f>
        <v>976.41964465340743</v>
      </c>
      <c r="G76" s="35">
        <f>G74*G75</f>
        <v>1004.672771922584</v>
      </c>
      <c r="H76" s="35">
        <f>H74*H75</f>
        <v>1116.3499341880604</v>
      </c>
      <c r="I76" s="20"/>
      <c r="J76" s="35">
        <f>J74*J75</f>
        <v>933.75882810517317</v>
      </c>
      <c r="K76" s="35">
        <f>K74*K75</f>
        <v>1008.8375903632343</v>
      </c>
      <c r="L76" s="35">
        <f>L74*L75</f>
        <v>1059.4824135142551</v>
      </c>
      <c r="M76" s="35">
        <f>M74*M75</f>
        <v>1117.5639072406655</v>
      </c>
      <c r="N76" s="35">
        <f>N74*N75</f>
        <v>1180.8632616330874</v>
      </c>
      <c r="O76" s="48"/>
      <c r="P76" s="48"/>
    </row>
    <row r="77" spans="1:26" ht="12.75" thickBot="1" x14ac:dyDescent="0.25">
      <c r="A77" s="30" t="s">
        <v>4</v>
      </c>
      <c r="B77" s="30" t="s">
        <v>24</v>
      </c>
      <c r="C77" s="41"/>
      <c r="D77" s="36"/>
      <c r="E77" s="25">
        <f>E73-E76</f>
        <v>2404.1638513688067</v>
      </c>
      <c r="F77" s="25">
        <f>F73-F76</f>
        <v>2685.168068952476</v>
      </c>
      <c r="G77" s="25">
        <f>G73-G76</f>
        <v>3116.4406132595691</v>
      </c>
      <c r="H77" s="25">
        <f>H73-H76</f>
        <v>870.28243575413649</v>
      </c>
      <c r="I77" s="15"/>
      <c r="J77" s="25">
        <f>J73-J76</f>
        <v>2700.2541406448249</v>
      </c>
      <c r="K77" s="25">
        <f>K73-K76</f>
        <v>3035.0920412617661</v>
      </c>
      <c r="L77" s="25">
        <f>L73-L76</f>
        <v>3454.9428771748044</v>
      </c>
      <c r="M77" s="25">
        <f>M73-M76</f>
        <v>3758.0154067035191</v>
      </c>
      <c r="N77" s="25">
        <f>N73-N76</f>
        <v>4109.1402939963536</v>
      </c>
      <c r="O77" s="47"/>
      <c r="P77" s="47"/>
      <c r="Q77" s="16"/>
      <c r="R77" s="16"/>
      <c r="S77" s="16"/>
      <c r="T77" s="16"/>
      <c r="U77" s="16"/>
      <c r="V77" s="16"/>
      <c r="W77" s="16"/>
      <c r="X77" s="16"/>
      <c r="Y77" s="16"/>
      <c r="Z77" s="16"/>
    </row>
    <row r="78" spans="1:26" ht="13.5" customHeight="1" thickTop="1" x14ac:dyDescent="0.2">
      <c r="A78" s="41"/>
      <c r="B78" s="3"/>
      <c r="C78" s="3"/>
      <c r="D78" s="35"/>
      <c r="E78" s="35"/>
      <c r="F78" s="35"/>
      <c r="G78" s="35"/>
      <c r="H78" s="35"/>
      <c r="I78" s="20"/>
      <c r="J78" s="35"/>
      <c r="K78" s="35"/>
      <c r="L78" s="35"/>
      <c r="M78" s="35"/>
      <c r="N78" s="35"/>
      <c r="O78" s="48"/>
      <c r="P78" s="48"/>
    </row>
    <row r="79" spans="1:26" ht="13.5" customHeight="1" x14ac:dyDescent="0.2">
      <c r="A79" s="41"/>
      <c r="B79" s="82" t="s">
        <v>122</v>
      </c>
      <c r="C79" s="3"/>
      <c r="D79" s="35"/>
      <c r="E79" s="78">
        <f>E14/D33</f>
        <v>0.27012878030844412</v>
      </c>
      <c r="F79" s="78">
        <f>F14/E33</f>
        <v>0.26355630271402025</v>
      </c>
      <c r="G79" s="78">
        <f>G14/F33</f>
        <v>0.28829054810648153</v>
      </c>
      <c r="H79" s="78">
        <f>H14/G33</f>
        <v>0.1250712899736966</v>
      </c>
      <c r="I79" s="81"/>
      <c r="J79" s="78">
        <f>J14/H33</f>
        <v>0.2735219756698779</v>
      </c>
      <c r="K79" s="78">
        <f>K14/J33</f>
        <v>0.28172332562227126</v>
      </c>
      <c r="L79" s="78">
        <f>L14/K33</f>
        <v>0.29946715090918491</v>
      </c>
      <c r="M79" s="78">
        <f>M14/L33</f>
        <v>0.30661565927324558</v>
      </c>
      <c r="N79" s="78">
        <f>N14/M33</f>
        <v>0.31484501786539704</v>
      </c>
      <c r="O79" s="48"/>
      <c r="P79" s="48"/>
    </row>
    <row r="80" spans="1:26" ht="13.5" customHeight="1" x14ac:dyDescent="0.2">
      <c r="A80" s="17" t="s">
        <v>25</v>
      </c>
      <c r="B80" s="21" t="str">
        <f>B75</f>
        <v>WACC</v>
      </c>
      <c r="C80" s="3"/>
      <c r="D80" s="35"/>
      <c r="E80" s="83">
        <f>E75</f>
        <v>7.02814111173546E-2</v>
      </c>
      <c r="F80" s="83">
        <f t="shared" ref="F80:N80" si="48">F75</f>
        <v>7.02814111173546E-2</v>
      </c>
      <c r="G80" s="83">
        <f t="shared" si="48"/>
        <v>7.02814111173546E-2</v>
      </c>
      <c r="H80" s="83">
        <f t="shared" si="48"/>
        <v>7.02814111173546E-2</v>
      </c>
      <c r="I80" s="20"/>
      <c r="J80" s="83">
        <f t="shared" si="48"/>
        <v>7.02814111173546E-2</v>
      </c>
      <c r="K80" s="83">
        <f t="shared" si="48"/>
        <v>7.02814111173546E-2</v>
      </c>
      <c r="L80" s="83">
        <f t="shared" si="48"/>
        <v>7.02814111173546E-2</v>
      </c>
      <c r="M80" s="83">
        <f t="shared" si="48"/>
        <v>7.02814111173546E-2</v>
      </c>
      <c r="N80" s="83">
        <f t="shared" si="48"/>
        <v>7.02814111173546E-2</v>
      </c>
      <c r="O80" s="48"/>
      <c r="P80" s="48"/>
    </row>
    <row r="81" spans="1:28" ht="13.5" customHeight="1" x14ac:dyDescent="0.2">
      <c r="A81" s="41" t="s">
        <v>18</v>
      </c>
      <c r="B81" s="1" t="s">
        <v>123</v>
      </c>
      <c r="C81" s="3"/>
      <c r="D81" s="35"/>
      <c r="E81" s="78">
        <f>E79-E80</f>
        <v>0.19984736919108953</v>
      </c>
      <c r="F81" s="78">
        <f>F79-F80</f>
        <v>0.19327489159666567</v>
      </c>
      <c r="G81" s="78">
        <f>G79-G80</f>
        <v>0.21800913698912694</v>
      </c>
      <c r="H81" s="78">
        <f>H79-H80</f>
        <v>5.4789878856341998E-2</v>
      </c>
      <c r="I81" s="20"/>
      <c r="J81" s="78">
        <f>J79-J80</f>
        <v>0.20324056455252332</v>
      </c>
      <c r="K81" s="78">
        <f>K79-K80</f>
        <v>0.21144191450491667</v>
      </c>
      <c r="L81" s="78">
        <f>L79-L80</f>
        <v>0.22918573979183032</v>
      </c>
      <c r="M81" s="78">
        <f>M79-M80</f>
        <v>0.23633424815589099</v>
      </c>
      <c r="N81" s="78">
        <f>N79-N80</f>
        <v>0.24456360674804245</v>
      </c>
      <c r="O81" s="48"/>
      <c r="P81" s="48"/>
    </row>
    <row r="82" spans="1:28" x14ac:dyDescent="0.2">
      <c r="A82" s="1" t="s">
        <v>26</v>
      </c>
      <c r="B82" s="1" t="str">
        <f>B74</f>
        <v>期首投下資本</v>
      </c>
      <c r="C82" s="1">
        <v>1.3429705215419504E-2</v>
      </c>
      <c r="E82" s="42">
        <f>E74</f>
        <v>12030</v>
      </c>
      <c r="F82" s="42">
        <f>F74</f>
        <v>13893</v>
      </c>
      <c r="G82" s="42">
        <f>G74</f>
        <v>14295</v>
      </c>
      <c r="H82" s="42">
        <f>H74</f>
        <v>15884</v>
      </c>
      <c r="I82" s="20"/>
      <c r="J82" s="42">
        <f>J74</f>
        <v>13286</v>
      </c>
      <c r="K82" s="42">
        <f>K74</f>
        <v>14354.259175000001</v>
      </c>
      <c r="L82" s="42">
        <f>L74</f>
        <v>15074.85971995</v>
      </c>
      <c r="M82" s="42">
        <f>M74</f>
        <v>15901.273031848748</v>
      </c>
      <c r="N82" s="42">
        <f>N74</f>
        <v>16801.928744163997</v>
      </c>
      <c r="O82" s="48"/>
      <c r="P82" s="48"/>
    </row>
    <row r="83" spans="1:28" ht="12.75" thickBot="1" x14ac:dyDescent="0.25">
      <c r="A83" s="29" t="str">
        <f>A77</f>
        <v>=</v>
      </c>
      <c r="B83" s="29" t="str">
        <f>B77</f>
        <v>EVA</v>
      </c>
      <c r="C83" s="16">
        <v>142884</v>
      </c>
      <c r="D83" s="16"/>
      <c r="E83" s="74">
        <f>E81*E82</f>
        <v>2404.1638513688072</v>
      </c>
      <c r="F83" s="74">
        <f>F81*F82</f>
        <v>2685.168068952476</v>
      </c>
      <c r="G83" s="74">
        <f>G81*G82</f>
        <v>3116.4406132595695</v>
      </c>
      <c r="H83" s="74">
        <f>H81*H82</f>
        <v>870.28243575413626</v>
      </c>
      <c r="I83" s="15"/>
      <c r="J83" s="74">
        <f>J81*J82</f>
        <v>2700.2541406448249</v>
      </c>
      <c r="K83" s="74">
        <f>K81*K82</f>
        <v>3035.0920412617661</v>
      </c>
      <c r="L83" s="74">
        <f>L81*L82</f>
        <v>3454.9428771748048</v>
      </c>
      <c r="M83" s="74">
        <f>M81*M82</f>
        <v>3758.0154067035191</v>
      </c>
      <c r="N83" s="74">
        <f>N81*N82</f>
        <v>4109.1402939963546</v>
      </c>
      <c r="O83" s="86"/>
      <c r="P83" s="47"/>
      <c r="Q83" s="16"/>
      <c r="R83" s="16"/>
      <c r="S83" s="16"/>
      <c r="T83" s="16"/>
      <c r="U83" s="16"/>
      <c r="V83" s="16"/>
      <c r="W83" s="16"/>
      <c r="X83" s="16"/>
      <c r="Y83" s="16"/>
    </row>
    <row r="84" spans="1:28" s="16" customFormat="1" ht="12.75" thickTop="1" x14ac:dyDescent="0.2">
      <c r="C84" s="16">
        <v>1918.8900000000003</v>
      </c>
      <c r="I84" s="3"/>
      <c r="O84" s="78"/>
      <c r="P84" s="48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2.75" x14ac:dyDescent="0.2">
      <c r="A85" s="3"/>
      <c r="B85" s="76" t="s">
        <v>209</v>
      </c>
      <c r="C85" s="3"/>
      <c r="D85" s="78">
        <f>D14/D7</f>
        <v>0.1023097360388672</v>
      </c>
      <c r="E85" s="78">
        <f>E14/E7</f>
        <v>0.106194216761236</v>
      </c>
      <c r="F85" s="78">
        <f>F14/F7</f>
        <v>0.11309574109234875</v>
      </c>
      <c r="G85" s="78">
        <f>G14/G7</f>
        <v>0.11997418879715148</v>
      </c>
      <c r="H85" s="78">
        <f>H14/H7</f>
        <v>5.4582310903156767E-2</v>
      </c>
      <c r="I85" s="20"/>
      <c r="J85" s="78">
        <f>J14/J7</f>
        <v>9.3749999999999944E-2</v>
      </c>
      <c r="K85" s="78">
        <f>K14/K7</f>
        <v>9.7500000000000003E-2</v>
      </c>
      <c r="L85" s="78">
        <f>L14/L7</f>
        <v>0.10124999999999994</v>
      </c>
      <c r="M85" s="78">
        <f>M14/M7</f>
        <v>0.10124999999999995</v>
      </c>
      <c r="N85" s="78">
        <f>N14/N7</f>
        <v>0.10124999999999997</v>
      </c>
      <c r="O85" s="78"/>
      <c r="P85" s="48"/>
    </row>
    <row r="86" spans="1:28" ht="12.75" x14ac:dyDescent="0.2">
      <c r="A86" s="3"/>
      <c r="B86" s="76" t="s">
        <v>210</v>
      </c>
      <c r="C86" s="3"/>
      <c r="D86" s="35"/>
      <c r="E86" s="79">
        <f>E7/D33</f>
        <v>2.5437240232751455</v>
      </c>
      <c r="F86" s="79">
        <f>F7/E33</f>
        <v>2.3303822068667674</v>
      </c>
      <c r="G86" s="79">
        <f>G7/F33</f>
        <v>2.4029380902413431</v>
      </c>
      <c r="H86" s="79">
        <f>H7/G33</f>
        <v>2.2914253336691011</v>
      </c>
      <c r="I86" s="20"/>
      <c r="J86" s="79">
        <f>J7/H33</f>
        <v>2.9175677404786993</v>
      </c>
      <c r="K86" s="79">
        <f>K7/J33</f>
        <v>2.8894700063822696</v>
      </c>
      <c r="L86" s="79">
        <f>L7/K33</f>
        <v>2.9577002558931862</v>
      </c>
      <c r="M86" s="79">
        <f>M7/L33</f>
        <v>3.0283028076369951</v>
      </c>
      <c r="N86" s="79">
        <f>N7/M33</f>
        <v>3.1095804233619471</v>
      </c>
      <c r="O86" s="79"/>
      <c r="P86" s="48"/>
    </row>
    <row r="87" spans="1:28" x14ac:dyDescent="0.2">
      <c r="A87" s="3"/>
      <c r="C87" s="1"/>
      <c r="I87" s="1"/>
      <c r="J87" s="77"/>
      <c r="K87" s="77"/>
      <c r="L87" s="77"/>
      <c r="M87" s="77"/>
      <c r="N87" s="77"/>
      <c r="O87" s="77"/>
      <c r="P87" s="48"/>
    </row>
    <row r="88" spans="1:28" x14ac:dyDescent="0.2">
      <c r="A88" s="48"/>
      <c r="B88" s="153" t="s">
        <v>124</v>
      </c>
      <c r="C88" s="3"/>
      <c r="D88" s="35"/>
      <c r="E88" s="35">
        <f>E85*E86-E79</f>
        <v>0</v>
      </c>
      <c r="F88" s="35">
        <f>F85*F86-F79</f>
        <v>0</v>
      </c>
      <c r="G88" s="35">
        <f>G85*G86-G79</f>
        <v>0</v>
      </c>
      <c r="H88" s="35">
        <f>H85*H86-H79</f>
        <v>0</v>
      </c>
      <c r="I88" s="20"/>
      <c r="J88" s="35">
        <f>J85*J86-J79</f>
        <v>0</v>
      </c>
      <c r="K88" s="35">
        <f>K85*K86-K79</f>
        <v>0</v>
      </c>
      <c r="L88" s="35">
        <f>L85*L86-L79</f>
        <v>0</v>
      </c>
      <c r="M88" s="35">
        <f>M85*M86-M79</f>
        <v>0</v>
      </c>
      <c r="N88" s="35">
        <f>N85*N86-N79</f>
        <v>0</v>
      </c>
      <c r="O88" s="35"/>
      <c r="P88" s="48"/>
    </row>
    <row r="89" spans="1:28" x14ac:dyDescent="0.2">
      <c r="A89" s="48"/>
      <c r="B89" s="3"/>
      <c r="C89" s="3"/>
      <c r="D89" s="35"/>
      <c r="E89" s="35"/>
      <c r="F89" s="35"/>
      <c r="G89" s="35"/>
      <c r="H89" s="35"/>
      <c r="I89" s="20"/>
      <c r="J89" s="35"/>
      <c r="K89" s="35"/>
      <c r="L89" s="35"/>
      <c r="M89" s="35"/>
      <c r="N89" s="35"/>
      <c r="O89" s="35"/>
      <c r="P89" s="48"/>
    </row>
    <row r="90" spans="1:28" x14ac:dyDescent="0.2">
      <c r="D90" s="26"/>
      <c r="E90" s="26"/>
      <c r="F90" s="26"/>
      <c r="G90" s="26"/>
      <c r="H90" s="26"/>
      <c r="I90" s="19"/>
      <c r="J90" s="26"/>
      <c r="K90" s="26"/>
    </row>
    <row r="91" spans="1:28" x14ac:dyDescent="0.2">
      <c r="A91" s="1" t="s">
        <v>144</v>
      </c>
      <c r="D91" s="26"/>
      <c r="E91" s="87">
        <f>E65/E50</f>
        <v>0.57329264477461206</v>
      </c>
      <c r="F91" s="87">
        <f>F65/F50</f>
        <v>0.10978843918069511</v>
      </c>
      <c r="G91" s="87">
        <f>G65/G50</f>
        <v>0.38557541408916274</v>
      </c>
      <c r="H91" s="87">
        <f>H65/H50</f>
        <v>-1.3077406969240071</v>
      </c>
      <c r="I91" s="88"/>
      <c r="J91" s="87">
        <f>J65/J50</f>
        <v>0.29396129958431366</v>
      </c>
      <c r="K91" s="87">
        <f>K65/K50</f>
        <v>0.17819314641744555</v>
      </c>
      <c r="L91" s="87">
        <f>L65/L50</f>
        <v>0.18306057995980463</v>
      </c>
      <c r="M91" s="87">
        <f>M65/M50</f>
        <v>0.18472793781435742</v>
      </c>
      <c r="N91" s="87">
        <f>N65/N50</f>
        <v>0.17582067474540622</v>
      </c>
    </row>
    <row r="92" spans="1:28" x14ac:dyDescent="0.2">
      <c r="D92" s="26"/>
      <c r="E92" s="26"/>
      <c r="F92" s="26"/>
      <c r="G92" s="26"/>
      <c r="H92" s="26"/>
      <c r="I92" s="19"/>
      <c r="J92" s="26"/>
      <c r="K92" s="26"/>
    </row>
    <row r="93" spans="1:28" x14ac:dyDescent="0.2">
      <c r="A93" s="1" t="s">
        <v>145</v>
      </c>
      <c r="D93" s="26"/>
      <c r="E93" s="87">
        <f>E91*E79</f>
        <v>0.15486284289276808</v>
      </c>
      <c r="F93" s="87">
        <f>F91*F79</f>
        <v>2.8935435111207084E-2</v>
      </c>
      <c r="G93" s="87">
        <f>G91*G79</f>
        <v>0.1111577474641483</v>
      </c>
      <c r="H93" s="87">
        <f>H91*H79</f>
        <v>-0.16356081591538657</v>
      </c>
      <c r="I93" s="19"/>
      <c r="J93" s="87">
        <f>J91*J79</f>
        <v>8.0404875432786335E-2</v>
      </c>
      <c r="K93" s="87">
        <f>K91*K79</f>
        <v>5.0201165811819069E-2</v>
      </c>
      <c r="L93" s="87">
        <f>L91*L79</f>
        <v>5.4820630324345726E-2</v>
      </c>
      <c r="M93" s="87">
        <f>M91*M79</f>
        <v>5.6640478439136312E-2</v>
      </c>
      <c r="N93" s="87">
        <f>N91*N79</f>
        <v>5.5356263481323581E-2</v>
      </c>
      <c r="P93" s="122"/>
    </row>
    <row r="94" spans="1:28" x14ac:dyDescent="0.2">
      <c r="B94" s="131" t="s">
        <v>146</v>
      </c>
      <c r="D94" s="26"/>
      <c r="E94" s="26"/>
      <c r="F94" s="26"/>
      <c r="G94" s="26"/>
      <c r="H94" s="26"/>
      <c r="I94" s="19"/>
      <c r="J94" s="26"/>
      <c r="K94" s="26"/>
      <c r="N94" s="56">
        <f>AVERAGE(E93:H93)</f>
        <v>3.2848802388184231E-2</v>
      </c>
    </row>
    <row r="95" spans="1:28" x14ac:dyDescent="0.2">
      <c r="B95" s="131" t="s">
        <v>148</v>
      </c>
      <c r="D95" s="26"/>
      <c r="E95" s="26"/>
      <c r="F95" s="26"/>
      <c r="G95" s="26"/>
      <c r="H95" s="26"/>
      <c r="I95" s="19"/>
      <c r="J95" s="26"/>
      <c r="K95" s="26"/>
      <c r="N95" s="56">
        <f>AVERAGE(J93:N93)</f>
        <v>5.9484682697882207E-2</v>
      </c>
    </row>
    <row r="96" spans="1:28" x14ac:dyDescent="0.2">
      <c r="D96" s="26"/>
      <c r="E96" s="26"/>
      <c r="F96" s="26"/>
      <c r="G96" s="26"/>
      <c r="H96" s="26"/>
      <c r="I96" s="19"/>
      <c r="J96" s="87"/>
      <c r="K96" s="87"/>
      <c r="L96" s="87"/>
      <c r="M96" s="87"/>
      <c r="N96" s="87"/>
    </row>
    <row r="99" spans="1:11" x14ac:dyDescent="0.2">
      <c r="D99" s="26"/>
      <c r="E99" s="26"/>
      <c r="F99" s="26"/>
      <c r="G99" s="26"/>
      <c r="H99" s="26"/>
      <c r="I99" s="19"/>
      <c r="J99" s="26"/>
      <c r="K99" s="26"/>
    </row>
    <row r="100" spans="1:11" x14ac:dyDescent="0.2">
      <c r="D100" s="26"/>
      <c r="E100" s="26"/>
      <c r="F100" s="26"/>
      <c r="G100" s="26"/>
      <c r="H100" s="26"/>
      <c r="I100" s="19"/>
      <c r="J100" s="26"/>
      <c r="K100" s="26"/>
    </row>
    <row r="101" spans="1:11" ht="15" x14ac:dyDescent="0.25">
      <c r="A101" s="4" t="s">
        <v>43</v>
      </c>
      <c r="B101" s="3"/>
      <c r="C101" s="3"/>
      <c r="D101" s="167"/>
      <c r="E101" s="167"/>
      <c r="F101" s="167"/>
      <c r="G101" s="167"/>
      <c r="H101" s="167"/>
      <c r="I101" s="19"/>
      <c r="J101" s="26"/>
      <c r="K101" s="26"/>
    </row>
    <row r="102" spans="1:11" ht="15" x14ac:dyDescent="0.25">
      <c r="A102" s="4"/>
      <c r="B102" s="3"/>
      <c r="C102" s="3"/>
      <c r="D102" s="168"/>
      <c r="E102" s="168"/>
      <c r="F102" s="168"/>
      <c r="G102" s="168"/>
      <c r="H102" s="168"/>
      <c r="I102" s="19"/>
      <c r="J102" s="26"/>
      <c r="K102" s="26"/>
    </row>
    <row r="103" spans="1:11" x14ac:dyDescent="0.2">
      <c r="B103" s="131" t="s">
        <v>199</v>
      </c>
      <c r="D103" s="26"/>
      <c r="E103" s="26"/>
      <c r="F103" s="26"/>
      <c r="G103" s="26"/>
      <c r="H103" s="26">
        <f>'Historical Data Input'!H73*'Historical Data Input'!H70</f>
        <v>119753.49053316</v>
      </c>
      <c r="I103" s="19"/>
      <c r="J103" s="26"/>
      <c r="K103" s="26"/>
    </row>
    <row r="104" spans="1:11" x14ac:dyDescent="0.2">
      <c r="A104" s="1" t="s">
        <v>14</v>
      </c>
      <c r="B104" s="1" t="str">
        <f>'Historical Data Input'!B31</f>
        <v>短期有利子負債</v>
      </c>
      <c r="D104" s="26"/>
      <c r="E104" s="26"/>
      <c r="F104" s="26"/>
      <c r="G104" s="26"/>
      <c r="H104" s="26">
        <f>'Historical Data Input'!H31</f>
        <v>6</v>
      </c>
      <c r="I104" s="19"/>
      <c r="J104" s="26"/>
      <c r="K104" s="26"/>
    </row>
    <row r="105" spans="1:11" x14ac:dyDescent="0.2">
      <c r="A105" s="1" t="s">
        <v>44</v>
      </c>
      <c r="B105" s="1" t="str">
        <f>'Historical Data Input'!B35</f>
        <v>長期有利子負債</v>
      </c>
      <c r="C105" s="1"/>
      <c r="D105" s="26"/>
      <c r="E105" s="26"/>
      <c r="F105" s="26"/>
      <c r="G105" s="26"/>
      <c r="H105" s="26">
        <f>'Historical Data Input'!H35</f>
        <v>3468</v>
      </c>
      <c r="I105" s="19"/>
      <c r="J105" s="26"/>
      <c r="K105" s="26"/>
    </row>
    <row r="106" spans="1:11" x14ac:dyDescent="0.2">
      <c r="A106" s="1" t="s">
        <v>14</v>
      </c>
      <c r="B106" s="1" t="str">
        <f>'Historical Data Input'!A38</f>
        <v>少数株主持ち分</v>
      </c>
      <c r="C106" s="1"/>
      <c r="D106" s="26"/>
      <c r="E106" s="26"/>
      <c r="F106" s="26"/>
      <c r="G106" s="26"/>
      <c r="H106" s="26">
        <f>'Historical Data Input'!H38</f>
        <v>0</v>
      </c>
      <c r="I106" s="19"/>
      <c r="J106" s="26"/>
      <c r="K106" s="26"/>
    </row>
    <row r="107" spans="1:11" ht="12.75" thickBot="1" x14ac:dyDescent="0.25">
      <c r="A107" s="30" t="s">
        <v>4</v>
      </c>
      <c r="B107" s="152" t="s">
        <v>133</v>
      </c>
      <c r="C107" s="1"/>
      <c r="D107" s="26"/>
      <c r="E107" s="26"/>
      <c r="F107" s="26"/>
      <c r="G107" s="26"/>
      <c r="H107" s="130">
        <f>SUM(H103:H106)</f>
        <v>123227.49053316</v>
      </c>
      <c r="I107" s="19"/>
      <c r="J107" s="26"/>
      <c r="K107" s="26"/>
    </row>
    <row r="108" spans="1:11" ht="12.75" thickTop="1" x14ac:dyDescent="0.2">
      <c r="A108" s="1" t="s">
        <v>5</v>
      </c>
      <c r="B108" s="1" t="str">
        <f>A17</f>
        <v>投下資本</v>
      </c>
      <c r="C108" s="1"/>
      <c r="D108" s="26"/>
      <c r="E108" s="26"/>
      <c r="F108" s="26"/>
      <c r="G108" s="26"/>
      <c r="H108" s="26">
        <f>H40</f>
        <v>13286</v>
      </c>
      <c r="I108" s="19"/>
      <c r="J108" s="26"/>
      <c r="K108" s="26"/>
    </row>
    <row r="109" spans="1:11" ht="12.75" thickBot="1" x14ac:dyDescent="0.25">
      <c r="A109" s="30" t="s">
        <v>4</v>
      </c>
      <c r="B109" s="152" t="s">
        <v>200</v>
      </c>
      <c r="C109" s="1"/>
      <c r="D109" s="26"/>
      <c r="E109" s="26"/>
      <c r="F109" s="26"/>
      <c r="G109" s="26"/>
      <c r="H109" s="130">
        <f>H107-H108</f>
        <v>109941.49053316</v>
      </c>
      <c r="I109" s="19"/>
      <c r="J109" s="26"/>
      <c r="K109" s="26"/>
    </row>
    <row r="110" spans="1:11" ht="12.75" thickTop="1" x14ac:dyDescent="0.2">
      <c r="C110" s="1"/>
      <c r="D110" s="26"/>
      <c r="E110" s="26"/>
      <c r="F110" s="26"/>
      <c r="G110" s="26"/>
      <c r="H110" s="26"/>
      <c r="I110" s="19"/>
      <c r="J110" s="26"/>
      <c r="K110" s="26"/>
    </row>
    <row r="111" spans="1:11" x14ac:dyDescent="0.2">
      <c r="C111" s="1"/>
      <c r="D111" s="26"/>
      <c r="E111" s="26"/>
      <c r="F111" s="26"/>
      <c r="G111" s="26"/>
      <c r="H111" s="26"/>
      <c r="I111" s="19"/>
      <c r="J111" s="26"/>
      <c r="K111" s="26"/>
    </row>
    <row r="112" spans="1:11" x14ac:dyDescent="0.2">
      <c r="C112" s="1"/>
      <c r="D112" s="26"/>
      <c r="E112" s="26"/>
      <c r="F112" s="26"/>
      <c r="G112" s="26"/>
      <c r="H112" s="26"/>
      <c r="I112" s="19"/>
      <c r="J112" s="26"/>
      <c r="K112" s="26"/>
    </row>
    <row r="113" spans="3:11" x14ac:dyDescent="0.2">
      <c r="C113" s="1"/>
      <c r="D113" s="26"/>
      <c r="E113" s="26"/>
      <c r="F113" s="26"/>
      <c r="G113" s="26"/>
      <c r="H113" s="26"/>
      <c r="I113" s="19"/>
      <c r="J113" s="26"/>
      <c r="K113" s="26"/>
    </row>
    <row r="114" spans="3:11" x14ac:dyDescent="0.2">
      <c r="C114" s="1"/>
      <c r="D114" s="26"/>
      <c r="E114" s="26"/>
      <c r="F114" s="26"/>
      <c r="G114" s="26"/>
      <c r="H114" s="26"/>
      <c r="I114" s="19"/>
      <c r="J114" s="26"/>
      <c r="K114" s="26"/>
    </row>
    <row r="115" spans="3:11" x14ac:dyDescent="0.2">
      <c r="C115" s="1"/>
      <c r="D115" s="26"/>
      <c r="E115" s="26"/>
      <c r="F115" s="26"/>
      <c r="G115" s="26"/>
      <c r="H115" s="26"/>
      <c r="I115" s="19"/>
      <c r="J115" s="26"/>
      <c r="K115" s="26"/>
    </row>
    <row r="116" spans="3:11" x14ac:dyDescent="0.2">
      <c r="C116" s="1"/>
      <c r="D116" s="26"/>
      <c r="E116" s="26"/>
      <c r="F116" s="26"/>
      <c r="G116" s="26"/>
      <c r="H116" s="26"/>
      <c r="I116" s="19"/>
      <c r="J116" s="26"/>
      <c r="K116" s="26"/>
    </row>
    <row r="117" spans="3:11" x14ac:dyDescent="0.2">
      <c r="C117" s="1"/>
      <c r="D117" s="26"/>
      <c r="E117" s="26"/>
      <c r="F117" s="26"/>
      <c r="G117" s="26"/>
      <c r="H117" s="26"/>
      <c r="I117" s="19"/>
      <c r="J117" s="26"/>
      <c r="K117" s="26"/>
    </row>
    <row r="118" spans="3:11" x14ac:dyDescent="0.2">
      <c r="C118" s="1"/>
      <c r="D118" s="26"/>
      <c r="E118" s="26"/>
      <c r="F118" s="26"/>
      <c r="G118" s="26"/>
      <c r="H118" s="26"/>
      <c r="I118" s="19"/>
      <c r="J118" s="26"/>
      <c r="K118" s="26"/>
    </row>
    <row r="119" spans="3:11" x14ac:dyDescent="0.2">
      <c r="C119" s="1"/>
      <c r="D119" s="26"/>
      <c r="E119" s="26"/>
      <c r="F119" s="26"/>
      <c r="G119" s="26"/>
      <c r="H119" s="26"/>
      <c r="I119" s="19"/>
      <c r="J119" s="26"/>
      <c r="K119" s="26"/>
    </row>
    <row r="120" spans="3:11" x14ac:dyDescent="0.2">
      <c r="C120" s="1"/>
      <c r="D120" s="26"/>
      <c r="E120" s="26"/>
      <c r="F120" s="26"/>
      <c r="G120" s="26"/>
      <c r="H120" s="26"/>
      <c r="I120" s="19"/>
      <c r="J120" s="26"/>
      <c r="K120" s="26"/>
    </row>
    <row r="121" spans="3:11" x14ac:dyDescent="0.2">
      <c r="C121" s="1"/>
      <c r="D121" s="26"/>
      <c r="E121" s="26"/>
      <c r="F121" s="26"/>
      <c r="G121" s="26"/>
      <c r="H121" s="26"/>
      <c r="I121" s="19"/>
      <c r="J121" s="26"/>
      <c r="K121" s="26"/>
    </row>
    <row r="122" spans="3:11" x14ac:dyDescent="0.2">
      <c r="C122" s="1"/>
      <c r="D122" s="26"/>
      <c r="E122" s="26"/>
      <c r="F122" s="26"/>
      <c r="G122" s="26"/>
      <c r="H122" s="26"/>
      <c r="I122" s="19"/>
      <c r="J122" s="26"/>
      <c r="K122" s="26"/>
    </row>
    <row r="123" spans="3:11" x14ac:dyDescent="0.2">
      <c r="C123" s="1"/>
      <c r="D123" s="26"/>
      <c r="E123" s="26"/>
      <c r="F123" s="26"/>
      <c r="G123" s="26"/>
      <c r="H123" s="26"/>
      <c r="I123" s="19"/>
      <c r="J123" s="26"/>
      <c r="K123" s="26"/>
    </row>
    <row r="124" spans="3:11" x14ac:dyDescent="0.2">
      <c r="C124" s="1"/>
      <c r="D124" s="26"/>
      <c r="E124" s="26"/>
      <c r="F124" s="26"/>
      <c r="G124" s="26"/>
      <c r="H124" s="26"/>
      <c r="I124" s="19"/>
      <c r="J124" s="26"/>
      <c r="K124" s="26"/>
    </row>
    <row r="125" spans="3:11" x14ac:dyDescent="0.2">
      <c r="C125" s="1"/>
      <c r="D125" s="26"/>
      <c r="E125" s="26"/>
      <c r="F125" s="26"/>
      <c r="G125" s="26"/>
      <c r="H125" s="26"/>
      <c r="I125" s="19"/>
      <c r="J125" s="26"/>
      <c r="K125" s="26"/>
    </row>
    <row r="126" spans="3:11" x14ac:dyDescent="0.2">
      <c r="C126" s="1"/>
      <c r="D126" s="26"/>
      <c r="E126" s="26"/>
      <c r="F126" s="26"/>
      <c r="G126" s="26"/>
      <c r="H126" s="26"/>
      <c r="I126" s="19"/>
      <c r="J126" s="26"/>
      <c r="K126" s="26"/>
    </row>
    <row r="127" spans="3:11" x14ac:dyDescent="0.2">
      <c r="C127" s="1"/>
      <c r="D127" s="26"/>
      <c r="E127" s="26"/>
      <c r="F127" s="26"/>
      <c r="G127" s="26"/>
      <c r="H127" s="26"/>
      <c r="I127" s="19"/>
      <c r="J127" s="26"/>
      <c r="K127" s="26"/>
    </row>
    <row r="128" spans="3:11" x14ac:dyDescent="0.2">
      <c r="C128" s="1"/>
      <c r="D128" s="26"/>
      <c r="E128" s="26"/>
      <c r="F128" s="26"/>
      <c r="G128" s="26"/>
      <c r="H128" s="26"/>
      <c r="I128" s="19"/>
      <c r="J128" s="26"/>
      <c r="K128" s="26"/>
    </row>
    <row r="129" spans="3:11" x14ac:dyDescent="0.2">
      <c r="C129" s="1"/>
      <c r="D129" s="26"/>
      <c r="E129" s="26"/>
      <c r="F129" s="26"/>
      <c r="G129" s="26"/>
      <c r="H129" s="26"/>
      <c r="I129" s="19"/>
      <c r="J129" s="26"/>
      <c r="K129" s="26"/>
    </row>
    <row r="130" spans="3:11" x14ac:dyDescent="0.2">
      <c r="C130" s="1"/>
      <c r="D130" s="26"/>
      <c r="E130" s="26"/>
      <c r="F130" s="26"/>
      <c r="G130" s="26"/>
      <c r="H130" s="26"/>
      <c r="I130" s="19"/>
      <c r="J130" s="26"/>
      <c r="K130" s="26"/>
    </row>
    <row r="131" spans="3:11" x14ac:dyDescent="0.2">
      <c r="C131" s="1"/>
      <c r="D131" s="26"/>
      <c r="E131" s="26"/>
      <c r="F131" s="26"/>
      <c r="G131" s="26"/>
      <c r="H131" s="26"/>
      <c r="I131" s="19"/>
      <c r="J131" s="26"/>
      <c r="K131" s="26"/>
    </row>
    <row r="132" spans="3:11" x14ac:dyDescent="0.2">
      <c r="C132" s="1"/>
      <c r="D132" s="26"/>
      <c r="E132" s="26"/>
      <c r="F132" s="26"/>
      <c r="G132" s="26"/>
      <c r="H132" s="26"/>
      <c r="I132" s="19"/>
      <c r="J132" s="26"/>
      <c r="K132" s="26"/>
    </row>
    <row r="133" spans="3:11" x14ac:dyDescent="0.2">
      <c r="C133" s="1"/>
      <c r="D133" s="26"/>
      <c r="E133" s="26"/>
      <c r="F133" s="26"/>
      <c r="G133" s="26"/>
      <c r="H133" s="26"/>
      <c r="I133" s="19"/>
      <c r="J133" s="26"/>
      <c r="K133" s="26"/>
    </row>
    <row r="134" spans="3:11" x14ac:dyDescent="0.2">
      <c r="C134" s="1"/>
      <c r="D134" s="26"/>
      <c r="E134" s="26"/>
      <c r="F134" s="26"/>
      <c r="G134" s="26"/>
      <c r="H134" s="26"/>
      <c r="I134" s="19"/>
      <c r="J134" s="26"/>
      <c r="K134" s="26"/>
    </row>
    <row r="135" spans="3:11" x14ac:dyDescent="0.2">
      <c r="C135" s="1"/>
      <c r="D135" s="26"/>
      <c r="E135" s="26"/>
      <c r="F135" s="26"/>
      <c r="G135" s="26"/>
      <c r="H135" s="26"/>
      <c r="I135" s="19"/>
      <c r="J135" s="26"/>
      <c r="K135" s="26"/>
    </row>
    <row r="136" spans="3:11" x14ac:dyDescent="0.2">
      <c r="C136" s="1"/>
      <c r="D136" s="26"/>
      <c r="E136" s="26"/>
      <c r="F136" s="26"/>
      <c r="G136" s="26"/>
      <c r="H136" s="26"/>
      <c r="I136" s="19"/>
      <c r="J136" s="26"/>
      <c r="K136" s="26"/>
    </row>
    <row r="137" spans="3:11" x14ac:dyDescent="0.2">
      <c r="C137" s="1"/>
      <c r="D137" s="26"/>
      <c r="E137" s="26"/>
      <c r="F137" s="26"/>
      <c r="G137" s="26"/>
      <c r="H137" s="26"/>
      <c r="I137" s="19"/>
      <c r="J137" s="26"/>
      <c r="K137" s="26"/>
    </row>
    <row r="138" spans="3:11" x14ac:dyDescent="0.2">
      <c r="C138" s="1"/>
      <c r="D138" s="26"/>
      <c r="E138" s="26"/>
      <c r="F138" s="26"/>
      <c r="G138" s="26"/>
      <c r="H138" s="26"/>
      <c r="I138" s="19"/>
      <c r="J138" s="26"/>
      <c r="K138" s="26"/>
    </row>
    <row r="139" spans="3:11" x14ac:dyDescent="0.2">
      <c r="C139" s="1"/>
      <c r="D139" s="26"/>
      <c r="E139" s="26"/>
      <c r="F139" s="26"/>
      <c r="G139" s="26"/>
      <c r="H139" s="26"/>
      <c r="I139" s="19"/>
      <c r="J139" s="26"/>
      <c r="K139" s="26"/>
    </row>
    <row r="140" spans="3:11" x14ac:dyDescent="0.2">
      <c r="C140" s="1"/>
      <c r="D140" s="26"/>
      <c r="E140" s="26"/>
      <c r="F140" s="26"/>
      <c r="G140" s="26"/>
      <c r="H140" s="26"/>
      <c r="I140" s="19"/>
      <c r="J140" s="26"/>
      <c r="K140" s="26"/>
    </row>
    <row r="141" spans="3:11" x14ac:dyDescent="0.2">
      <c r="C141" s="1"/>
      <c r="D141" s="26"/>
      <c r="E141" s="26"/>
      <c r="F141" s="26"/>
      <c r="G141" s="26"/>
      <c r="H141" s="26"/>
      <c r="I141" s="19"/>
      <c r="J141" s="26"/>
      <c r="K141" s="26"/>
    </row>
    <row r="142" spans="3:11" x14ac:dyDescent="0.2">
      <c r="C142" s="1"/>
      <c r="D142" s="26"/>
      <c r="E142" s="26"/>
      <c r="F142" s="26"/>
      <c r="G142" s="26"/>
      <c r="H142" s="26"/>
      <c r="I142" s="19"/>
      <c r="J142" s="26"/>
      <c r="K142" s="26"/>
    </row>
    <row r="143" spans="3:11" x14ac:dyDescent="0.2">
      <c r="C143" s="1"/>
      <c r="D143" s="26"/>
      <c r="E143" s="26"/>
      <c r="F143" s="26"/>
      <c r="G143" s="26"/>
      <c r="H143" s="26"/>
      <c r="I143" s="19"/>
      <c r="J143" s="26"/>
      <c r="K143" s="26"/>
    </row>
    <row r="144" spans="3:11" x14ac:dyDescent="0.2">
      <c r="C144" s="1"/>
      <c r="D144" s="26"/>
      <c r="E144" s="26"/>
      <c r="F144" s="26"/>
      <c r="G144" s="26"/>
      <c r="H144" s="26"/>
      <c r="I144" s="19"/>
      <c r="J144" s="26"/>
      <c r="K144" s="26"/>
    </row>
    <row r="145" spans="3:11" x14ac:dyDescent="0.2">
      <c r="C145" s="1"/>
      <c r="D145" s="26"/>
      <c r="E145" s="26"/>
      <c r="F145" s="26"/>
      <c r="G145" s="26"/>
      <c r="H145" s="26"/>
      <c r="I145" s="19"/>
      <c r="J145" s="26"/>
      <c r="K145" s="26"/>
    </row>
    <row r="146" spans="3:11" x14ac:dyDescent="0.2">
      <c r="C146" s="1"/>
      <c r="D146" s="26"/>
      <c r="E146" s="26"/>
      <c r="F146" s="26"/>
      <c r="G146" s="26"/>
      <c r="H146" s="26"/>
      <c r="I146" s="19"/>
      <c r="J146" s="26"/>
      <c r="K146" s="26"/>
    </row>
    <row r="147" spans="3:11" x14ac:dyDescent="0.2">
      <c r="C147" s="1"/>
      <c r="D147" s="26"/>
      <c r="E147" s="26"/>
      <c r="F147" s="26"/>
      <c r="G147" s="26"/>
      <c r="H147" s="26"/>
      <c r="I147" s="19"/>
      <c r="J147" s="26"/>
      <c r="K147" s="26"/>
    </row>
    <row r="148" spans="3:11" x14ac:dyDescent="0.2">
      <c r="C148" s="1"/>
      <c r="D148" s="26"/>
      <c r="E148" s="26"/>
      <c r="F148" s="26"/>
      <c r="G148" s="26"/>
      <c r="H148" s="26"/>
      <c r="I148" s="19"/>
      <c r="J148" s="26"/>
      <c r="K148" s="26"/>
    </row>
    <row r="149" spans="3:11" x14ac:dyDescent="0.2">
      <c r="C149" s="1"/>
      <c r="D149" s="26"/>
      <c r="E149" s="26"/>
      <c r="F149" s="26"/>
      <c r="G149" s="26"/>
      <c r="H149" s="26"/>
      <c r="I149" s="19"/>
      <c r="J149" s="26"/>
      <c r="K149" s="26"/>
    </row>
    <row r="150" spans="3:11" x14ac:dyDescent="0.2">
      <c r="C150" s="1"/>
      <c r="D150" s="26"/>
      <c r="E150" s="26"/>
      <c r="F150" s="26"/>
      <c r="G150" s="26"/>
      <c r="H150" s="26"/>
      <c r="I150" s="19"/>
      <c r="J150" s="26"/>
      <c r="K150" s="26"/>
    </row>
    <row r="151" spans="3:11" x14ac:dyDescent="0.2">
      <c r="C151" s="1"/>
      <c r="D151" s="26"/>
      <c r="E151" s="26"/>
      <c r="F151" s="26"/>
      <c r="G151" s="26"/>
      <c r="H151" s="26"/>
      <c r="I151" s="19"/>
      <c r="J151" s="26"/>
      <c r="K151" s="26"/>
    </row>
    <row r="152" spans="3:11" x14ac:dyDescent="0.2">
      <c r="C152" s="1"/>
      <c r="D152" s="26"/>
      <c r="E152" s="26"/>
      <c r="F152" s="26"/>
      <c r="G152" s="26"/>
      <c r="H152" s="26"/>
      <c r="I152" s="19"/>
      <c r="J152" s="26"/>
      <c r="K152" s="26"/>
    </row>
    <row r="153" spans="3:11" x14ac:dyDescent="0.2">
      <c r="C153" s="1"/>
      <c r="D153" s="26"/>
      <c r="E153" s="26"/>
      <c r="F153" s="26"/>
      <c r="G153" s="26"/>
      <c r="H153" s="26"/>
      <c r="I153" s="19"/>
      <c r="J153" s="26"/>
      <c r="K153" s="26"/>
    </row>
    <row r="154" spans="3:11" x14ac:dyDescent="0.2">
      <c r="C154" s="1"/>
      <c r="D154" s="26"/>
      <c r="E154" s="26"/>
      <c r="F154" s="26"/>
      <c r="G154" s="26"/>
      <c r="H154" s="26"/>
      <c r="I154" s="19"/>
      <c r="J154" s="26"/>
      <c r="K154" s="26"/>
    </row>
    <row r="155" spans="3:11" x14ac:dyDescent="0.2">
      <c r="C155" s="1"/>
      <c r="D155" s="26"/>
      <c r="E155" s="26"/>
      <c r="F155" s="26"/>
      <c r="G155" s="26"/>
      <c r="H155" s="26"/>
      <c r="I155" s="19"/>
      <c r="J155" s="26"/>
      <c r="K155" s="26"/>
    </row>
    <row r="156" spans="3:11" x14ac:dyDescent="0.2">
      <c r="C156" s="1"/>
      <c r="D156" s="26"/>
      <c r="E156" s="26"/>
      <c r="F156" s="26"/>
      <c r="G156" s="26"/>
      <c r="H156" s="26"/>
      <c r="I156" s="19"/>
      <c r="J156" s="26"/>
      <c r="K156" s="26"/>
    </row>
    <row r="157" spans="3:11" x14ac:dyDescent="0.2">
      <c r="C157" s="1"/>
      <c r="D157" s="26"/>
      <c r="E157" s="26"/>
      <c r="F157" s="26"/>
      <c r="G157" s="26"/>
      <c r="H157" s="26"/>
      <c r="I157" s="19"/>
      <c r="J157" s="26"/>
      <c r="K157" s="26"/>
    </row>
    <row r="158" spans="3:11" x14ac:dyDescent="0.2">
      <c r="C158" s="1"/>
      <c r="D158" s="26"/>
      <c r="E158" s="26"/>
      <c r="F158" s="26"/>
      <c r="G158" s="26"/>
      <c r="H158" s="26"/>
      <c r="I158" s="19"/>
      <c r="J158" s="26"/>
      <c r="K158" s="26"/>
    </row>
    <row r="159" spans="3:11" x14ac:dyDescent="0.2">
      <c r="C159" s="1"/>
      <c r="D159" s="26"/>
      <c r="E159" s="26"/>
      <c r="F159" s="26"/>
      <c r="G159" s="26"/>
      <c r="H159" s="26"/>
      <c r="I159" s="19"/>
      <c r="J159" s="26"/>
      <c r="K159" s="26"/>
    </row>
    <row r="160" spans="3:11" x14ac:dyDescent="0.2">
      <c r="C160" s="1"/>
      <c r="D160" s="26"/>
      <c r="E160" s="26"/>
      <c r="F160" s="26"/>
      <c r="G160" s="26"/>
      <c r="H160" s="26"/>
      <c r="I160" s="19"/>
      <c r="J160" s="26"/>
      <c r="K160" s="26"/>
    </row>
    <row r="161" spans="3:11" x14ac:dyDescent="0.2">
      <c r="C161" s="1"/>
      <c r="D161" s="26"/>
      <c r="E161" s="26"/>
      <c r="F161" s="26"/>
      <c r="G161" s="26"/>
      <c r="H161" s="26"/>
      <c r="I161" s="19"/>
      <c r="J161" s="26"/>
      <c r="K161" s="26"/>
    </row>
    <row r="162" spans="3:11" x14ac:dyDescent="0.2">
      <c r="C162" s="1"/>
      <c r="D162" s="26"/>
      <c r="E162" s="26"/>
      <c r="F162" s="26"/>
      <c r="G162" s="26"/>
      <c r="H162" s="26"/>
      <c r="I162" s="19"/>
      <c r="J162" s="26"/>
      <c r="K162" s="26"/>
    </row>
    <row r="163" spans="3:11" x14ac:dyDescent="0.2">
      <c r="C163" s="1"/>
      <c r="D163" s="26"/>
      <c r="E163" s="26"/>
      <c r="F163" s="26"/>
      <c r="G163" s="26"/>
      <c r="H163" s="26"/>
      <c r="I163" s="19"/>
      <c r="J163" s="26"/>
      <c r="K163" s="26"/>
    </row>
    <row r="164" spans="3:11" x14ac:dyDescent="0.2">
      <c r="C164" s="1"/>
      <c r="D164" s="26"/>
      <c r="E164" s="26"/>
      <c r="F164" s="26"/>
      <c r="G164" s="26"/>
      <c r="H164" s="26"/>
      <c r="I164" s="19"/>
      <c r="J164" s="26"/>
      <c r="K164" s="26"/>
    </row>
    <row r="165" spans="3:11" x14ac:dyDescent="0.2">
      <c r="C165" s="1"/>
      <c r="D165" s="26"/>
      <c r="E165" s="26"/>
      <c r="F165" s="26"/>
      <c r="G165" s="26"/>
      <c r="H165" s="26"/>
      <c r="I165" s="19"/>
      <c r="J165" s="26"/>
      <c r="K165" s="26"/>
    </row>
    <row r="166" spans="3:11" x14ac:dyDescent="0.2">
      <c r="C166" s="1"/>
      <c r="D166" s="26"/>
      <c r="E166" s="26"/>
      <c r="F166" s="26"/>
      <c r="G166" s="26"/>
      <c r="H166" s="26"/>
      <c r="I166" s="19"/>
      <c r="J166" s="26"/>
      <c r="K166" s="26"/>
    </row>
    <row r="167" spans="3:11" x14ac:dyDescent="0.2">
      <c r="C167" s="1"/>
      <c r="D167" s="26"/>
      <c r="E167" s="26"/>
      <c r="F167" s="26"/>
      <c r="G167" s="26"/>
      <c r="H167" s="26"/>
      <c r="I167" s="19"/>
      <c r="J167" s="26"/>
      <c r="K167" s="26"/>
    </row>
    <row r="168" spans="3:11" x14ac:dyDescent="0.2">
      <c r="C168" s="1"/>
      <c r="D168" s="26"/>
      <c r="E168" s="26"/>
      <c r="F168" s="26"/>
      <c r="G168" s="26"/>
      <c r="H168" s="26"/>
      <c r="I168" s="19"/>
      <c r="J168" s="26"/>
      <c r="K168" s="26"/>
    </row>
    <row r="169" spans="3:11" x14ac:dyDescent="0.2">
      <c r="C169" s="1"/>
      <c r="D169" s="26"/>
      <c r="E169" s="26"/>
      <c r="F169" s="26"/>
      <c r="G169" s="26"/>
      <c r="H169" s="26"/>
      <c r="I169" s="19"/>
      <c r="J169" s="26"/>
      <c r="K169" s="26"/>
    </row>
    <row r="170" spans="3:11" x14ac:dyDescent="0.2">
      <c r="C170" s="1"/>
      <c r="D170" s="26"/>
      <c r="E170" s="26"/>
      <c r="F170" s="26"/>
      <c r="G170" s="26"/>
      <c r="H170" s="26"/>
      <c r="I170" s="19"/>
      <c r="J170" s="26"/>
      <c r="K170" s="26"/>
    </row>
    <row r="171" spans="3:11" x14ac:dyDescent="0.2">
      <c r="C171" s="1"/>
      <c r="D171" s="26"/>
      <c r="E171" s="26"/>
      <c r="F171" s="26"/>
      <c r="G171" s="26"/>
      <c r="H171" s="26"/>
      <c r="I171" s="19"/>
      <c r="J171" s="26"/>
      <c r="K171" s="26"/>
    </row>
    <row r="172" spans="3:11" x14ac:dyDescent="0.2">
      <c r="C172" s="1"/>
      <c r="D172" s="26"/>
      <c r="E172" s="26"/>
      <c r="F172" s="26"/>
      <c r="G172" s="26"/>
      <c r="H172" s="26"/>
      <c r="I172" s="19"/>
      <c r="J172" s="26"/>
      <c r="K172" s="26"/>
    </row>
    <row r="173" spans="3:11" x14ac:dyDescent="0.2">
      <c r="C173" s="1"/>
      <c r="D173" s="26"/>
      <c r="E173" s="26"/>
      <c r="F173" s="26"/>
      <c r="G173" s="26"/>
      <c r="H173" s="26"/>
      <c r="I173" s="19"/>
      <c r="J173" s="26"/>
      <c r="K173" s="26"/>
    </row>
    <row r="174" spans="3:11" x14ac:dyDescent="0.2">
      <c r="C174" s="1"/>
      <c r="D174" s="26"/>
      <c r="E174" s="26"/>
      <c r="F174" s="26"/>
      <c r="G174" s="26"/>
      <c r="H174" s="26"/>
      <c r="I174" s="19"/>
      <c r="J174" s="26"/>
      <c r="K174" s="26"/>
    </row>
    <row r="175" spans="3:11" x14ac:dyDescent="0.2">
      <c r="C175" s="1"/>
      <c r="D175" s="26"/>
      <c r="E175" s="26"/>
      <c r="F175" s="26"/>
      <c r="G175" s="26"/>
      <c r="H175" s="26"/>
      <c r="I175" s="19"/>
      <c r="J175" s="26"/>
      <c r="K175" s="26"/>
    </row>
    <row r="176" spans="3:11" x14ac:dyDescent="0.2">
      <c r="C176" s="1"/>
      <c r="D176" s="26"/>
      <c r="E176" s="26"/>
      <c r="F176" s="26"/>
      <c r="G176" s="26"/>
      <c r="H176" s="26"/>
      <c r="I176" s="19"/>
      <c r="J176" s="26"/>
      <c r="K176" s="26"/>
    </row>
    <row r="177" spans="3:11" x14ac:dyDescent="0.2">
      <c r="C177" s="1"/>
      <c r="D177" s="26"/>
      <c r="E177" s="26"/>
      <c r="F177" s="26"/>
      <c r="G177" s="26"/>
      <c r="H177" s="26"/>
      <c r="I177" s="19"/>
      <c r="J177" s="26"/>
      <c r="K177" s="26"/>
    </row>
    <row r="178" spans="3:11" x14ac:dyDescent="0.2">
      <c r="C178" s="1"/>
      <c r="D178" s="26"/>
      <c r="E178" s="26"/>
      <c r="F178" s="26"/>
      <c r="G178" s="26"/>
      <c r="H178" s="26"/>
      <c r="I178" s="19"/>
      <c r="J178" s="26"/>
      <c r="K178" s="26"/>
    </row>
    <row r="179" spans="3:11" x14ac:dyDescent="0.2">
      <c r="C179" s="1"/>
      <c r="D179" s="26"/>
      <c r="E179" s="26"/>
      <c r="F179" s="26"/>
      <c r="G179" s="26"/>
      <c r="H179" s="26"/>
      <c r="I179" s="19"/>
      <c r="J179" s="26"/>
      <c r="K179" s="26"/>
    </row>
    <row r="180" spans="3:11" x14ac:dyDescent="0.2">
      <c r="C180" s="1"/>
      <c r="D180" s="26"/>
      <c r="E180" s="26"/>
      <c r="F180" s="26"/>
      <c r="G180" s="26"/>
      <c r="H180" s="26"/>
      <c r="I180" s="19"/>
      <c r="J180" s="26"/>
      <c r="K180" s="26"/>
    </row>
    <row r="181" spans="3:11" x14ac:dyDescent="0.2">
      <c r="C181" s="1"/>
      <c r="D181" s="26"/>
      <c r="E181" s="26"/>
      <c r="F181" s="26"/>
      <c r="G181" s="26"/>
      <c r="H181" s="26"/>
      <c r="I181" s="19"/>
      <c r="J181" s="26"/>
      <c r="K181" s="26"/>
    </row>
    <row r="182" spans="3:11" x14ac:dyDescent="0.2">
      <c r="C182" s="1"/>
      <c r="D182" s="26"/>
      <c r="E182" s="26"/>
      <c r="F182" s="26"/>
      <c r="G182" s="26"/>
      <c r="H182" s="26"/>
      <c r="I182" s="19"/>
      <c r="J182" s="26"/>
      <c r="K182" s="26"/>
    </row>
    <row r="183" spans="3:11" x14ac:dyDescent="0.2">
      <c r="C183" s="1"/>
      <c r="D183" s="26"/>
      <c r="E183" s="26"/>
      <c r="F183" s="26"/>
      <c r="G183" s="26"/>
      <c r="H183" s="26"/>
      <c r="I183" s="19"/>
      <c r="J183" s="26"/>
      <c r="K183" s="26"/>
    </row>
    <row r="184" spans="3:11" x14ac:dyDescent="0.2">
      <c r="C184" s="1"/>
      <c r="D184" s="26"/>
      <c r="E184" s="26"/>
      <c r="F184" s="26"/>
      <c r="G184" s="26"/>
      <c r="H184" s="26"/>
      <c r="I184" s="19"/>
      <c r="J184" s="26"/>
      <c r="K184" s="26"/>
    </row>
    <row r="185" spans="3:11" x14ac:dyDescent="0.2">
      <c r="C185" s="1"/>
      <c r="D185" s="26"/>
      <c r="E185" s="26"/>
      <c r="F185" s="26"/>
      <c r="G185" s="26"/>
      <c r="H185" s="26"/>
      <c r="I185" s="19"/>
      <c r="J185" s="26"/>
      <c r="K185" s="26"/>
    </row>
    <row r="186" spans="3:11" x14ac:dyDescent="0.2">
      <c r="C186" s="1"/>
      <c r="D186" s="26"/>
      <c r="E186" s="26"/>
      <c r="F186" s="26"/>
      <c r="G186" s="26"/>
      <c r="H186" s="26"/>
      <c r="I186" s="19"/>
      <c r="J186" s="26"/>
      <c r="K186" s="26"/>
    </row>
    <row r="187" spans="3:11" x14ac:dyDescent="0.2">
      <c r="C187" s="1"/>
      <c r="D187" s="26"/>
      <c r="E187" s="26"/>
      <c r="F187" s="26"/>
      <c r="G187" s="26"/>
      <c r="H187" s="26"/>
      <c r="I187" s="19"/>
      <c r="J187" s="26"/>
      <c r="K187" s="26"/>
    </row>
    <row r="188" spans="3:11" x14ac:dyDescent="0.2">
      <c r="C188" s="1"/>
      <c r="D188" s="26"/>
      <c r="E188" s="26"/>
      <c r="F188" s="26"/>
      <c r="G188" s="26"/>
      <c r="H188" s="26"/>
      <c r="I188" s="19"/>
      <c r="J188" s="26"/>
      <c r="K188" s="26"/>
    </row>
    <row r="189" spans="3:11" x14ac:dyDescent="0.2">
      <c r="C189" s="1"/>
      <c r="D189" s="26"/>
      <c r="E189" s="26"/>
      <c r="F189" s="26"/>
      <c r="G189" s="26"/>
      <c r="H189" s="26"/>
      <c r="I189" s="19"/>
      <c r="J189" s="26"/>
      <c r="K189" s="26"/>
    </row>
    <row r="190" spans="3:11" x14ac:dyDescent="0.2">
      <c r="C190" s="1"/>
      <c r="D190" s="26"/>
      <c r="E190" s="26"/>
      <c r="F190" s="26"/>
      <c r="G190" s="26"/>
      <c r="H190" s="26"/>
      <c r="I190" s="19"/>
      <c r="J190" s="26"/>
      <c r="K190" s="26"/>
    </row>
    <row r="191" spans="3:11" x14ac:dyDescent="0.2">
      <c r="C191" s="1"/>
      <c r="D191" s="26"/>
      <c r="E191" s="26"/>
      <c r="F191" s="26"/>
      <c r="G191" s="26"/>
      <c r="H191" s="26"/>
      <c r="I191" s="19"/>
      <c r="J191" s="26"/>
      <c r="K191" s="26"/>
    </row>
    <row r="192" spans="3:11" x14ac:dyDescent="0.2">
      <c r="C192" s="1"/>
      <c r="D192" s="26"/>
      <c r="E192" s="26"/>
      <c r="F192" s="26"/>
      <c r="G192" s="26"/>
      <c r="H192" s="26"/>
      <c r="I192" s="19"/>
      <c r="J192" s="26"/>
      <c r="K192" s="26"/>
    </row>
    <row r="193" spans="3:11" x14ac:dyDescent="0.2">
      <c r="C193" s="1"/>
      <c r="D193" s="26"/>
      <c r="E193" s="26"/>
      <c r="F193" s="26"/>
      <c r="G193" s="26"/>
      <c r="H193" s="26"/>
      <c r="I193" s="19"/>
      <c r="J193" s="26"/>
      <c r="K193" s="26"/>
    </row>
    <row r="194" spans="3:11" x14ac:dyDescent="0.2">
      <c r="C194" s="1"/>
      <c r="D194" s="26"/>
      <c r="E194" s="26"/>
      <c r="F194" s="26"/>
      <c r="G194" s="26"/>
      <c r="H194" s="26"/>
      <c r="I194" s="19"/>
      <c r="J194" s="26"/>
      <c r="K194" s="26"/>
    </row>
    <row r="195" spans="3:11" x14ac:dyDescent="0.2">
      <c r="C195" s="1"/>
      <c r="D195" s="26"/>
      <c r="E195" s="26"/>
      <c r="F195" s="26"/>
      <c r="G195" s="26"/>
      <c r="H195" s="26"/>
      <c r="I195" s="19"/>
      <c r="J195" s="26"/>
      <c r="K195" s="26"/>
    </row>
    <row r="196" spans="3:11" x14ac:dyDescent="0.2">
      <c r="C196" s="1"/>
      <c r="D196" s="26"/>
      <c r="E196" s="26"/>
      <c r="F196" s="26"/>
      <c r="G196" s="26"/>
      <c r="H196" s="26"/>
      <c r="I196" s="19"/>
      <c r="J196" s="26"/>
      <c r="K196" s="26"/>
    </row>
    <row r="197" spans="3:11" x14ac:dyDescent="0.2">
      <c r="C197" s="1"/>
      <c r="D197" s="26"/>
      <c r="E197" s="26"/>
      <c r="F197" s="26"/>
      <c r="G197" s="26"/>
      <c r="H197" s="26"/>
      <c r="I197" s="19"/>
      <c r="J197" s="26"/>
      <c r="K197" s="26"/>
    </row>
    <row r="198" spans="3:11" x14ac:dyDescent="0.2">
      <c r="C198" s="1"/>
      <c r="D198" s="26"/>
      <c r="E198" s="26"/>
      <c r="F198" s="26"/>
      <c r="G198" s="26"/>
      <c r="H198" s="26"/>
      <c r="I198" s="19"/>
      <c r="J198" s="26"/>
      <c r="K198" s="26"/>
    </row>
    <row r="199" spans="3:11" x14ac:dyDescent="0.2">
      <c r="C199" s="1"/>
      <c r="D199" s="26"/>
      <c r="E199" s="26"/>
      <c r="F199" s="26"/>
      <c r="G199" s="26"/>
      <c r="H199" s="26"/>
      <c r="I199" s="19"/>
      <c r="J199" s="26"/>
      <c r="K199" s="26"/>
    </row>
    <row r="200" spans="3:11" x14ac:dyDescent="0.2">
      <c r="C200" s="1"/>
      <c r="D200" s="26"/>
      <c r="E200" s="26"/>
      <c r="F200" s="26"/>
      <c r="G200" s="26"/>
      <c r="H200" s="26"/>
      <c r="I200" s="19"/>
      <c r="J200" s="26"/>
      <c r="K200" s="26"/>
    </row>
    <row r="201" spans="3:11" x14ac:dyDescent="0.2">
      <c r="C201" s="1"/>
      <c r="D201" s="26"/>
      <c r="E201" s="26"/>
      <c r="F201" s="26"/>
      <c r="G201" s="26"/>
      <c r="H201" s="26"/>
      <c r="I201" s="19"/>
      <c r="J201" s="26"/>
      <c r="K201" s="26"/>
    </row>
    <row r="202" spans="3:11" x14ac:dyDescent="0.2">
      <c r="C202" s="1"/>
      <c r="D202" s="26"/>
      <c r="E202" s="26"/>
      <c r="F202" s="26"/>
      <c r="G202" s="26"/>
      <c r="H202" s="26"/>
      <c r="I202" s="19"/>
      <c r="J202" s="26"/>
      <c r="K202" s="26"/>
    </row>
    <row r="203" spans="3:11" x14ac:dyDescent="0.2">
      <c r="C203" s="1"/>
      <c r="D203" s="26"/>
      <c r="E203" s="26"/>
      <c r="F203" s="26"/>
      <c r="G203" s="26"/>
      <c r="H203" s="26"/>
      <c r="I203" s="19"/>
      <c r="J203" s="26"/>
      <c r="K203" s="26"/>
    </row>
    <row r="204" spans="3:11" x14ac:dyDescent="0.2">
      <c r="C204" s="1"/>
      <c r="D204" s="26"/>
      <c r="E204" s="26"/>
      <c r="F204" s="26"/>
      <c r="G204" s="26"/>
      <c r="H204" s="26"/>
      <c r="I204" s="19"/>
      <c r="J204" s="26"/>
      <c r="K204" s="26"/>
    </row>
    <row r="205" spans="3:11" x14ac:dyDescent="0.2">
      <c r="C205" s="1"/>
      <c r="D205" s="26"/>
      <c r="E205" s="26"/>
      <c r="F205" s="26"/>
      <c r="G205" s="26"/>
      <c r="H205" s="26"/>
      <c r="I205" s="19"/>
      <c r="J205" s="26"/>
      <c r="K205" s="26"/>
    </row>
    <row r="206" spans="3:11" x14ac:dyDescent="0.2">
      <c r="C206" s="1"/>
      <c r="D206" s="26"/>
      <c r="E206" s="26"/>
      <c r="F206" s="26"/>
      <c r="G206" s="26"/>
      <c r="H206" s="26"/>
      <c r="I206" s="19"/>
      <c r="J206" s="26"/>
      <c r="K206" s="26"/>
    </row>
    <row r="207" spans="3:11" x14ac:dyDescent="0.2">
      <c r="C207" s="1"/>
      <c r="D207" s="26"/>
      <c r="E207" s="26"/>
      <c r="F207" s="26"/>
      <c r="G207" s="26"/>
      <c r="H207" s="26"/>
      <c r="I207" s="19"/>
      <c r="J207" s="26"/>
      <c r="K207" s="26"/>
    </row>
    <row r="208" spans="3:11" x14ac:dyDescent="0.2">
      <c r="C208" s="1"/>
      <c r="D208" s="26"/>
      <c r="E208" s="26"/>
      <c r="F208" s="26"/>
      <c r="G208" s="26"/>
      <c r="H208" s="26"/>
      <c r="I208" s="19"/>
      <c r="J208" s="26"/>
      <c r="K208" s="26"/>
    </row>
    <row r="209" spans="3:11" x14ac:dyDescent="0.2">
      <c r="C209" s="1"/>
      <c r="D209" s="26"/>
      <c r="E209" s="26"/>
      <c r="F209" s="26"/>
      <c r="G209" s="26"/>
      <c r="H209" s="26"/>
      <c r="I209" s="19"/>
      <c r="J209" s="26"/>
      <c r="K209" s="26"/>
    </row>
    <row r="210" spans="3:11" x14ac:dyDescent="0.2">
      <c r="C210" s="1"/>
      <c r="D210" s="26"/>
      <c r="E210" s="26"/>
      <c r="F210" s="26"/>
      <c r="G210" s="26"/>
      <c r="H210" s="26"/>
      <c r="I210" s="19"/>
      <c r="J210" s="26"/>
      <c r="K210" s="26"/>
    </row>
    <row r="211" spans="3:11" x14ac:dyDescent="0.2">
      <c r="C211" s="1"/>
      <c r="D211" s="26"/>
      <c r="E211" s="26"/>
      <c r="F211" s="26"/>
      <c r="G211" s="26"/>
      <c r="H211" s="26"/>
      <c r="I211" s="19"/>
      <c r="J211" s="26"/>
      <c r="K211" s="26"/>
    </row>
    <row r="212" spans="3:11" x14ac:dyDescent="0.2">
      <c r="C212" s="1"/>
      <c r="D212" s="26"/>
      <c r="E212" s="26"/>
      <c r="F212" s="26"/>
      <c r="G212" s="26"/>
      <c r="H212" s="26"/>
      <c r="I212" s="19"/>
      <c r="J212" s="26"/>
      <c r="K212" s="26"/>
    </row>
    <row r="213" spans="3:11" x14ac:dyDescent="0.2">
      <c r="C213" s="1"/>
      <c r="D213" s="26"/>
      <c r="E213" s="26"/>
      <c r="F213" s="26"/>
      <c r="G213" s="26"/>
      <c r="H213" s="26"/>
      <c r="I213" s="19"/>
      <c r="J213" s="26"/>
      <c r="K213" s="26"/>
    </row>
    <row r="214" spans="3:11" x14ac:dyDescent="0.2">
      <c r="C214" s="1"/>
      <c r="D214" s="26"/>
      <c r="E214" s="26"/>
      <c r="F214" s="26"/>
      <c r="G214" s="26"/>
      <c r="H214" s="26"/>
      <c r="I214" s="19"/>
      <c r="J214" s="26"/>
      <c r="K214" s="26"/>
    </row>
    <row r="215" spans="3:11" x14ac:dyDescent="0.2">
      <c r="C215" s="1"/>
      <c r="D215" s="26"/>
      <c r="E215" s="26"/>
      <c r="F215" s="26"/>
      <c r="G215" s="26"/>
      <c r="H215" s="26"/>
      <c r="I215" s="19"/>
      <c r="J215" s="26"/>
      <c r="K215" s="26"/>
    </row>
    <row r="216" spans="3:11" x14ac:dyDescent="0.2">
      <c r="C216" s="1"/>
      <c r="D216" s="26"/>
      <c r="E216" s="26"/>
      <c r="F216" s="26"/>
      <c r="G216" s="26"/>
      <c r="H216" s="26"/>
      <c r="I216" s="19"/>
      <c r="J216" s="26"/>
      <c r="K216" s="26"/>
    </row>
    <row r="217" spans="3:11" x14ac:dyDescent="0.2">
      <c r="C217" s="1"/>
      <c r="D217" s="26"/>
      <c r="E217" s="26"/>
      <c r="F217" s="26"/>
      <c r="G217" s="26"/>
      <c r="H217" s="26"/>
      <c r="I217" s="19"/>
      <c r="J217" s="26"/>
      <c r="K217" s="26"/>
    </row>
    <row r="218" spans="3:11" x14ac:dyDescent="0.2">
      <c r="C218" s="1"/>
      <c r="D218" s="26"/>
      <c r="E218" s="26"/>
      <c r="F218" s="26"/>
      <c r="G218" s="26"/>
      <c r="H218" s="26"/>
      <c r="I218" s="19"/>
      <c r="J218" s="26"/>
      <c r="K218" s="26"/>
    </row>
    <row r="219" spans="3:11" x14ac:dyDescent="0.2">
      <c r="C219" s="1"/>
      <c r="D219" s="26"/>
      <c r="E219" s="26"/>
      <c r="F219" s="26"/>
      <c r="G219" s="26"/>
      <c r="H219" s="26"/>
      <c r="I219" s="19"/>
      <c r="J219" s="26"/>
      <c r="K219" s="26"/>
    </row>
    <row r="220" spans="3:11" x14ac:dyDescent="0.2">
      <c r="C220" s="1"/>
      <c r="D220" s="26"/>
      <c r="E220" s="26"/>
      <c r="F220" s="26"/>
      <c r="G220" s="26"/>
      <c r="H220" s="26"/>
      <c r="I220" s="19"/>
      <c r="J220" s="26"/>
      <c r="K220" s="26"/>
    </row>
    <row r="221" spans="3:11" x14ac:dyDescent="0.2">
      <c r="C221" s="1"/>
      <c r="D221" s="26"/>
      <c r="E221" s="26"/>
      <c r="F221" s="26"/>
      <c r="G221" s="26"/>
      <c r="H221" s="26"/>
      <c r="I221" s="19"/>
      <c r="J221" s="26"/>
      <c r="K221" s="26"/>
    </row>
    <row r="222" spans="3:11" x14ac:dyDescent="0.2">
      <c r="C222" s="1"/>
      <c r="D222" s="26"/>
      <c r="E222" s="26"/>
      <c r="F222" s="26"/>
      <c r="G222" s="26"/>
      <c r="H222" s="26"/>
      <c r="I222" s="19"/>
      <c r="J222" s="26"/>
      <c r="K222" s="26"/>
    </row>
    <row r="223" spans="3:11" x14ac:dyDescent="0.2">
      <c r="C223" s="1"/>
      <c r="D223" s="26"/>
      <c r="E223" s="26"/>
      <c r="F223" s="26"/>
      <c r="G223" s="26"/>
      <c r="H223" s="26"/>
      <c r="I223" s="19"/>
      <c r="J223" s="26"/>
      <c r="K223" s="26"/>
    </row>
    <row r="224" spans="3:11" x14ac:dyDescent="0.2">
      <c r="C224" s="1"/>
      <c r="D224" s="26"/>
      <c r="E224" s="26"/>
      <c r="F224" s="26"/>
      <c r="G224" s="26"/>
      <c r="H224" s="26"/>
      <c r="I224" s="19"/>
      <c r="J224" s="26"/>
      <c r="K224" s="26"/>
    </row>
    <row r="225" spans="3:11" x14ac:dyDescent="0.2">
      <c r="C225" s="1"/>
      <c r="D225" s="26"/>
      <c r="E225" s="26"/>
      <c r="F225" s="26"/>
      <c r="G225" s="26"/>
      <c r="H225" s="26"/>
      <c r="I225" s="19"/>
      <c r="J225" s="26"/>
      <c r="K225" s="26"/>
    </row>
    <row r="226" spans="3:11" x14ac:dyDescent="0.2">
      <c r="C226" s="1"/>
      <c r="D226" s="26"/>
      <c r="E226" s="26"/>
      <c r="F226" s="26"/>
      <c r="G226" s="26"/>
      <c r="H226" s="26"/>
      <c r="I226" s="19"/>
      <c r="J226" s="26"/>
      <c r="K226" s="26"/>
    </row>
    <row r="227" spans="3:11" x14ac:dyDescent="0.2">
      <c r="C227" s="1"/>
      <c r="D227" s="26"/>
      <c r="E227" s="26"/>
      <c r="F227" s="26"/>
      <c r="G227" s="26"/>
      <c r="H227" s="26"/>
      <c r="I227" s="19"/>
      <c r="J227" s="26"/>
      <c r="K227" s="26"/>
    </row>
    <row r="228" spans="3:11" x14ac:dyDescent="0.2">
      <c r="C228" s="1"/>
      <c r="D228" s="26"/>
      <c r="E228" s="26"/>
      <c r="F228" s="26"/>
      <c r="G228" s="26"/>
      <c r="H228" s="26"/>
      <c r="I228" s="19"/>
      <c r="J228" s="26"/>
      <c r="K228" s="26"/>
    </row>
    <row r="229" spans="3:11" x14ac:dyDescent="0.2">
      <c r="C229" s="1"/>
      <c r="D229" s="26"/>
      <c r="E229" s="26"/>
      <c r="F229" s="26"/>
      <c r="G229" s="26"/>
      <c r="H229" s="26"/>
      <c r="I229" s="19"/>
      <c r="J229" s="26"/>
      <c r="K229" s="26"/>
    </row>
    <row r="230" spans="3:11" x14ac:dyDescent="0.2">
      <c r="C230" s="1"/>
      <c r="D230" s="26"/>
      <c r="E230" s="26"/>
      <c r="F230" s="26"/>
      <c r="G230" s="26"/>
      <c r="H230" s="26"/>
      <c r="I230" s="19"/>
      <c r="J230" s="26"/>
      <c r="K230" s="26"/>
    </row>
    <row r="231" spans="3:11" x14ac:dyDescent="0.2">
      <c r="C231" s="1"/>
      <c r="D231" s="26"/>
      <c r="E231" s="26"/>
      <c r="F231" s="26"/>
      <c r="G231" s="26"/>
      <c r="H231" s="26"/>
      <c r="I231" s="19"/>
      <c r="J231" s="26"/>
      <c r="K231" s="26"/>
    </row>
    <row r="232" spans="3:11" x14ac:dyDescent="0.2">
      <c r="C232" s="1"/>
      <c r="D232" s="26"/>
      <c r="E232" s="26"/>
      <c r="F232" s="26"/>
      <c r="G232" s="26"/>
      <c r="H232" s="26"/>
      <c r="I232" s="19"/>
      <c r="J232" s="26"/>
      <c r="K232" s="26"/>
    </row>
    <row r="233" spans="3:11" x14ac:dyDescent="0.2">
      <c r="C233" s="1"/>
      <c r="D233" s="26"/>
      <c r="E233" s="26"/>
      <c r="F233" s="26"/>
      <c r="G233" s="26"/>
      <c r="H233" s="26"/>
      <c r="I233" s="19"/>
      <c r="J233" s="26"/>
      <c r="K233" s="26"/>
    </row>
    <row r="234" spans="3:11" x14ac:dyDescent="0.2">
      <c r="C234" s="1"/>
      <c r="D234" s="26"/>
      <c r="E234" s="26"/>
      <c r="F234" s="26"/>
      <c r="G234" s="26"/>
      <c r="H234" s="26"/>
      <c r="I234" s="19"/>
      <c r="J234" s="26"/>
      <c r="K234" s="26"/>
    </row>
    <row r="235" spans="3:11" x14ac:dyDescent="0.2">
      <c r="C235" s="1"/>
      <c r="D235" s="26"/>
      <c r="E235" s="26"/>
      <c r="F235" s="26"/>
      <c r="G235" s="26"/>
      <c r="H235" s="26"/>
      <c r="I235" s="19"/>
      <c r="J235" s="26"/>
      <c r="K235" s="26"/>
    </row>
    <row r="236" spans="3:11" x14ac:dyDescent="0.2">
      <c r="C236" s="1"/>
      <c r="D236" s="26"/>
      <c r="E236" s="26"/>
      <c r="F236" s="26"/>
      <c r="G236" s="26"/>
      <c r="H236" s="26"/>
      <c r="I236" s="19"/>
      <c r="J236" s="26"/>
      <c r="K236" s="26"/>
    </row>
    <row r="237" spans="3:11" x14ac:dyDescent="0.2">
      <c r="C237" s="1"/>
      <c r="D237" s="26"/>
      <c r="E237" s="26"/>
      <c r="F237" s="26"/>
      <c r="G237" s="26"/>
      <c r="H237" s="26"/>
      <c r="I237" s="19"/>
      <c r="J237" s="26"/>
      <c r="K237" s="26"/>
    </row>
    <row r="238" spans="3:11" x14ac:dyDescent="0.2">
      <c r="C238" s="1"/>
      <c r="D238" s="26"/>
      <c r="E238" s="26"/>
      <c r="F238" s="26"/>
      <c r="G238" s="26"/>
      <c r="H238" s="26"/>
      <c r="I238" s="19"/>
      <c r="J238" s="26"/>
      <c r="K238" s="26"/>
    </row>
    <row r="239" spans="3:11" x14ac:dyDescent="0.2">
      <c r="C239" s="1"/>
      <c r="D239" s="26"/>
      <c r="E239" s="26"/>
      <c r="F239" s="26"/>
      <c r="G239" s="26"/>
      <c r="H239" s="26"/>
      <c r="I239" s="19"/>
      <c r="J239" s="26"/>
      <c r="K239" s="26"/>
    </row>
    <row r="240" spans="3:11" x14ac:dyDescent="0.2">
      <c r="C240" s="1"/>
      <c r="D240" s="26"/>
      <c r="E240" s="26"/>
      <c r="F240" s="26"/>
      <c r="G240" s="26"/>
      <c r="H240" s="26"/>
      <c r="I240" s="19"/>
      <c r="J240" s="26"/>
      <c r="K240" s="26"/>
    </row>
    <row r="241" spans="3:11" x14ac:dyDescent="0.2">
      <c r="C241" s="1"/>
      <c r="D241" s="26"/>
      <c r="E241" s="26"/>
      <c r="F241" s="26"/>
      <c r="G241" s="26"/>
      <c r="H241" s="26"/>
      <c r="I241" s="19"/>
      <c r="J241" s="26"/>
      <c r="K241" s="26"/>
    </row>
    <row r="242" spans="3:11" x14ac:dyDescent="0.2">
      <c r="C242" s="1"/>
      <c r="D242" s="26"/>
      <c r="E242" s="26"/>
      <c r="F242" s="26"/>
      <c r="G242" s="26"/>
      <c r="H242" s="26"/>
      <c r="I242" s="19"/>
      <c r="J242" s="26"/>
      <c r="K242" s="26"/>
    </row>
    <row r="243" spans="3:11" x14ac:dyDescent="0.2">
      <c r="C243" s="1"/>
      <c r="D243" s="26"/>
      <c r="E243" s="26"/>
      <c r="F243" s="26"/>
      <c r="G243" s="26"/>
      <c r="H243" s="26"/>
      <c r="I243" s="19"/>
      <c r="J243" s="26"/>
      <c r="K243" s="26"/>
    </row>
    <row r="244" spans="3:11" x14ac:dyDescent="0.2">
      <c r="C244" s="1"/>
      <c r="D244" s="26"/>
      <c r="E244" s="26"/>
      <c r="F244" s="26"/>
      <c r="G244" s="26"/>
      <c r="H244" s="26"/>
      <c r="I244" s="19"/>
      <c r="J244" s="26"/>
      <c r="K244" s="26"/>
    </row>
    <row r="245" spans="3:11" x14ac:dyDescent="0.2">
      <c r="C245" s="1"/>
      <c r="D245" s="26"/>
      <c r="E245" s="26"/>
      <c r="F245" s="26"/>
      <c r="G245" s="26"/>
      <c r="H245" s="26"/>
      <c r="I245" s="19"/>
      <c r="J245" s="26"/>
      <c r="K245" s="26"/>
    </row>
    <row r="246" spans="3:11" x14ac:dyDescent="0.2">
      <c r="C246" s="1"/>
      <c r="D246" s="26"/>
      <c r="E246" s="26"/>
      <c r="F246" s="26"/>
      <c r="G246" s="26"/>
      <c r="H246" s="26"/>
      <c r="I246" s="19"/>
      <c r="J246" s="26"/>
      <c r="K246" s="26"/>
    </row>
    <row r="247" spans="3:11" x14ac:dyDescent="0.2">
      <c r="C247" s="1"/>
      <c r="D247" s="26"/>
      <c r="E247" s="26"/>
      <c r="F247" s="26"/>
      <c r="G247" s="26"/>
      <c r="H247" s="26"/>
      <c r="I247" s="19"/>
      <c r="J247" s="26"/>
      <c r="K247" s="26"/>
    </row>
    <row r="248" spans="3:11" x14ac:dyDescent="0.2">
      <c r="C248" s="1"/>
      <c r="D248" s="26"/>
      <c r="E248" s="26"/>
      <c r="F248" s="26"/>
      <c r="G248" s="26"/>
      <c r="H248" s="26"/>
      <c r="I248" s="19"/>
      <c r="J248" s="26"/>
      <c r="K248" s="26"/>
    </row>
    <row r="249" spans="3:11" x14ac:dyDescent="0.2">
      <c r="C249" s="1"/>
      <c r="D249" s="26"/>
      <c r="E249" s="26"/>
      <c r="F249" s="26"/>
      <c r="G249" s="26"/>
      <c r="H249" s="26"/>
      <c r="I249" s="19"/>
      <c r="J249" s="26"/>
      <c r="K249" s="26"/>
    </row>
    <row r="250" spans="3:11" x14ac:dyDescent="0.2">
      <c r="C250" s="1"/>
      <c r="D250" s="26"/>
      <c r="E250" s="26"/>
      <c r="F250" s="26"/>
      <c r="G250" s="26"/>
      <c r="H250" s="26"/>
      <c r="I250" s="19"/>
      <c r="J250" s="26"/>
      <c r="K250" s="26"/>
    </row>
    <row r="251" spans="3:11" x14ac:dyDescent="0.2">
      <c r="C251" s="1"/>
      <c r="D251" s="26"/>
      <c r="E251" s="26"/>
      <c r="F251" s="26"/>
      <c r="G251" s="26"/>
      <c r="H251" s="26"/>
      <c r="I251" s="19"/>
      <c r="J251" s="26"/>
      <c r="K251" s="26"/>
    </row>
    <row r="252" spans="3:11" x14ac:dyDescent="0.2">
      <c r="C252" s="1"/>
      <c r="D252" s="26"/>
      <c r="E252" s="26"/>
      <c r="F252" s="26"/>
      <c r="G252" s="26"/>
      <c r="H252" s="26"/>
      <c r="I252" s="19"/>
      <c r="J252" s="26"/>
      <c r="K252" s="26"/>
    </row>
    <row r="253" spans="3:11" x14ac:dyDescent="0.2">
      <c r="C253" s="1"/>
      <c r="D253" s="26"/>
      <c r="E253" s="26"/>
      <c r="F253" s="26"/>
      <c r="G253" s="26"/>
      <c r="H253" s="26"/>
      <c r="I253" s="19"/>
      <c r="J253" s="26"/>
      <c r="K253" s="26"/>
    </row>
    <row r="254" spans="3:11" x14ac:dyDescent="0.2">
      <c r="C254" s="1"/>
      <c r="D254" s="26"/>
      <c r="E254" s="26"/>
      <c r="F254" s="26"/>
      <c r="G254" s="26"/>
      <c r="H254" s="26"/>
      <c r="I254" s="19"/>
      <c r="J254" s="26"/>
      <c r="K254" s="26"/>
    </row>
    <row r="255" spans="3:11" x14ac:dyDescent="0.2">
      <c r="C255" s="1"/>
      <c r="D255" s="26"/>
      <c r="E255" s="26"/>
      <c r="F255" s="26"/>
      <c r="G255" s="26"/>
      <c r="H255" s="26"/>
      <c r="I255" s="19"/>
      <c r="J255" s="26"/>
      <c r="K255" s="26"/>
    </row>
    <row r="256" spans="3:11" x14ac:dyDescent="0.2">
      <c r="C256" s="1"/>
      <c r="D256" s="26"/>
      <c r="E256" s="26"/>
      <c r="F256" s="26"/>
      <c r="G256" s="26"/>
      <c r="H256" s="26"/>
      <c r="I256" s="19"/>
      <c r="J256" s="26"/>
      <c r="K256" s="26"/>
    </row>
    <row r="257" spans="3:11" x14ac:dyDescent="0.2">
      <c r="C257" s="1"/>
      <c r="D257" s="26"/>
      <c r="E257" s="26"/>
      <c r="F257" s="26"/>
      <c r="G257" s="26"/>
      <c r="H257" s="26"/>
      <c r="I257" s="19"/>
      <c r="J257" s="26"/>
      <c r="K257" s="26"/>
    </row>
    <row r="258" spans="3:11" x14ac:dyDescent="0.2">
      <c r="C258" s="1"/>
      <c r="D258" s="26"/>
      <c r="E258" s="26"/>
      <c r="F258" s="26"/>
      <c r="G258" s="26"/>
      <c r="H258" s="26"/>
      <c r="I258" s="19"/>
      <c r="J258" s="26"/>
      <c r="K258" s="26"/>
    </row>
    <row r="259" spans="3:11" x14ac:dyDescent="0.2">
      <c r="C259" s="1"/>
      <c r="D259" s="26"/>
      <c r="E259" s="26"/>
      <c r="F259" s="26"/>
      <c r="G259" s="26"/>
      <c r="H259" s="26"/>
      <c r="I259" s="19"/>
      <c r="J259" s="26"/>
      <c r="K259" s="26"/>
    </row>
    <row r="260" spans="3:11" x14ac:dyDescent="0.2">
      <c r="C260" s="1"/>
      <c r="D260" s="26"/>
      <c r="E260" s="26"/>
      <c r="F260" s="26"/>
      <c r="G260" s="26"/>
      <c r="H260" s="26"/>
      <c r="I260" s="19"/>
      <c r="J260" s="26"/>
      <c r="K260" s="26"/>
    </row>
    <row r="261" spans="3:11" x14ac:dyDescent="0.2">
      <c r="C261" s="1"/>
      <c r="D261" s="26"/>
      <c r="E261" s="26"/>
      <c r="F261" s="26"/>
      <c r="G261" s="26"/>
      <c r="H261" s="26"/>
      <c r="I261" s="19"/>
      <c r="J261" s="26"/>
      <c r="K261" s="26"/>
    </row>
    <row r="262" spans="3:11" x14ac:dyDescent="0.2">
      <c r="C262" s="1"/>
      <c r="D262" s="26"/>
      <c r="E262" s="26"/>
      <c r="F262" s="26"/>
      <c r="G262" s="26"/>
      <c r="H262" s="26"/>
      <c r="I262" s="19"/>
      <c r="J262" s="26"/>
      <c r="K262" s="26"/>
    </row>
    <row r="263" spans="3:11" x14ac:dyDescent="0.2">
      <c r="C263" s="1"/>
      <c r="D263" s="26"/>
      <c r="E263" s="26"/>
      <c r="F263" s="26"/>
      <c r="G263" s="26"/>
      <c r="H263" s="26"/>
      <c r="I263" s="19"/>
      <c r="J263" s="26"/>
      <c r="K263" s="26"/>
    </row>
    <row r="264" spans="3:11" x14ac:dyDescent="0.2">
      <c r="C264" s="1"/>
      <c r="D264" s="26"/>
      <c r="E264" s="26"/>
      <c r="F264" s="26"/>
      <c r="G264" s="26"/>
      <c r="H264" s="26"/>
      <c r="I264" s="19"/>
      <c r="J264" s="26"/>
      <c r="K264" s="26"/>
    </row>
    <row r="265" spans="3:11" x14ac:dyDescent="0.2">
      <c r="C265" s="1"/>
      <c r="D265" s="26"/>
      <c r="E265" s="26"/>
      <c r="F265" s="26"/>
      <c r="G265" s="26"/>
      <c r="H265" s="26"/>
      <c r="I265" s="19"/>
      <c r="J265" s="26"/>
      <c r="K265" s="26"/>
    </row>
    <row r="266" spans="3:11" x14ac:dyDescent="0.2">
      <c r="C266" s="1"/>
      <c r="D266" s="26"/>
      <c r="E266" s="26"/>
      <c r="F266" s="26"/>
      <c r="G266" s="26"/>
      <c r="H266" s="26"/>
      <c r="I266" s="19"/>
      <c r="J266" s="26"/>
      <c r="K266" s="26"/>
    </row>
    <row r="267" spans="3:11" x14ac:dyDescent="0.2">
      <c r="C267" s="1"/>
      <c r="D267" s="26"/>
      <c r="E267" s="26"/>
      <c r="F267" s="26"/>
      <c r="G267" s="26"/>
      <c r="H267" s="26"/>
      <c r="I267" s="19"/>
      <c r="J267" s="26"/>
      <c r="K267" s="26"/>
    </row>
    <row r="268" spans="3:11" x14ac:dyDescent="0.2">
      <c r="C268" s="1"/>
      <c r="D268" s="26"/>
      <c r="E268" s="26"/>
      <c r="F268" s="26"/>
      <c r="G268" s="26"/>
      <c r="H268" s="26"/>
      <c r="I268" s="19"/>
      <c r="J268" s="26"/>
      <c r="K268" s="26"/>
    </row>
    <row r="269" spans="3:11" x14ac:dyDescent="0.2">
      <c r="C269" s="1"/>
      <c r="D269" s="26"/>
      <c r="E269" s="26"/>
      <c r="F269" s="26"/>
      <c r="G269" s="26"/>
      <c r="H269" s="26"/>
      <c r="I269" s="19"/>
      <c r="J269" s="26"/>
      <c r="K269" s="26"/>
    </row>
    <row r="270" spans="3:11" x14ac:dyDescent="0.2">
      <c r="C270" s="1"/>
      <c r="D270" s="26"/>
      <c r="E270" s="26"/>
      <c r="F270" s="26"/>
      <c r="G270" s="26"/>
      <c r="H270" s="26"/>
      <c r="I270" s="19"/>
      <c r="J270" s="26"/>
      <c r="K270" s="26"/>
    </row>
    <row r="271" spans="3:11" x14ac:dyDescent="0.2">
      <c r="C271" s="1"/>
      <c r="D271" s="26"/>
      <c r="E271" s="26"/>
      <c r="F271" s="26"/>
      <c r="G271" s="26"/>
      <c r="H271" s="26"/>
      <c r="I271" s="19"/>
      <c r="J271" s="26"/>
      <c r="K271" s="26"/>
    </row>
    <row r="272" spans="3:11" x14ac:dyDescent="0.2">
      <c r="C272" s="1"/>
      <c r="D272" s="26"/>
      <c r="E272" s="26"/>
      <c r="F272" s="26"/>
      <c r="G272" s="26"/>
      <c r="H272" s="26"/>
      <c r="I272" s="19"/>
      <c r="J272" s="26"/>
      <c r="K272" s="26"/>
    </row>
    <row r="273" spans="3:11" x14ac:dyDescent="0.2">
      <c r="C273" s="1"/>
      <c r="D273" s="26"/>
      <c r="E273" s="26"/>
      <c r="F273" s="26"/>
      <c r="G273" s="26"/>
      <c r="H273" s="26"/>
      <c r="I273" s="19"/>
      <c r="J273" s="26"/>
      <c r="K273" s="26"/>
    </row>
    <row r="274" spans="3:11" x14ac:dyDescent="0.2">
      <c r="C274" s="1"/>
      <c r="D274" s="26"/>
      <c r="E274" s="26"/>
      <c r="F274" s="26"/>
      <c r="G274" s="26"/>
      <c r="H274" s="26"/>
      <c r="I274" s="19"/>
      <c r="J274" s="26"/>
      <c r="K274" s="26"/>
    </row>
    <row r="275" spans="3:11" x14ac:dyDescent="0.2">
      <c r="C275" s="1"/>
      <c r="D275" s="26"/>
      <c r="E275" s="26"/>
      <c r="F275" s="26"/>
      <c r="G275" s="26"/>
      <c r="H275" s="26"/>
      <c r="I275" s="19"/>
      <c r="J275" s="26"/>
      <c r="K275" s="26"/>
    </row>
    <row r="276" spans="3:11" x14ac:dyDescent="0.2">
      <c r="C276" s="1"/>
      <c r="D276" s="26"/>
      <c r="E276" s="26"/>
      <c r="F276" s="26"/>
      <c r="G276" s="26"/>
      <c r="H276" s="26"/>
      <c r="I276" s="19"/>
      <c r="J276" s="26"/>
      <c r="K276" s="26"/>
    </row>
    <row r="277" spans="3:11" x14ac:dyDescent="0.2">
      <c r="C277" s="1"/>
      <c r="D277" s="26"/>
      <c r="E277" s="26"/>
      <c r="F277" s="26"/>
      <c r="G277" s="26"/>
      <c r="H277" s="26"/>
      <c r="I277" s="19"/>
      <c r="J277" s="26"/>
      <c r="K277" s="26"/>
    </row>
    <row r="278" spans="3:11" x14ac:dyDescent="0.2">
      <c r="C278" s="1"/>
      <c r="D278" s="26"/>
      <c r="E278" s="26"/>
      <c r="F278" s="26"/>
      <c r="G278" s="26"/>
      <c r="H278" s="26"/>
      <c r="I278" s="19"/>
      <c r="J278" s="26"/>
      <c r="K278" s="26"/>
    </row>
    <row r="279" spans="3:11" x14ac:dyDescent="0.2">
      <c r="C279" s="1"/>
      <c r="D279" s="26"/>
      <c r="E279" s="26"/>
      <c r="F279" s="26"/>
      <c r="G279" s="26"/>
      <c r="H279" s="26"/>
      <c r="I279" s="19"/>
      <c r="J279" s="26"/>
      <c r="K279" s="26"/>
    </row>
  </sheetData>
  <mergeCells count="2">
    <mergeCell ref="P4:AB4"/>
    <mergeCell ref="P17:AB17"/>
  </mergeCells>
  <phoneticPr fontId="3"/>
  <pageMargins left="0.75" right="0.75" top="1" bottom="1" header="0.51200000000000001" footer="0.51200000000000001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77"/>
  <sheetViews>
    <sheetView showGridLines="0" workbookViewId="0">
      <selection activeCell="Q18" sqref="Q18"/>
    </sheetView>
  </sheetViews>
  <sheetFormatPr defaultColWidth="11.42578125" defaultRowHeight="15" x14ac:dyDescent="0.25"/>
  <sheetData>
    <row r="1" spans="1:11" x14ac:dyDescent="0.25">
      <c r="A1" s="157" t="s">
        <v>157</v>
      </c>
      <c r="G1" s="157" t="s">
        <v>155</v>
      </c>
      <c r="K1" s="157" t="s">
        <v>193</v>
      </c>
    </row>
    <row r="11" spans="1:11" x14ac:dyDescent="0.25">
      <c r="G11" s="157" t="s">
        <v>156</v>
      </c>
    </row>
    <row r="21" spans="1:13" x14ac:dyDescent="0.25">
      <c r="A21" t="s">
        <v>33</v>
      </c>
      <c r="I21" s="157" t="s">
        <v>150</v>
      </c>
      <c r="M21" t="s">
        <v>149</v>
      </c>
    </row>
    <row r="41" spans="1:13" x14ac:dyDescent="0.25">
      <c r="A41" t="s">
        <v>153</v>
      </c>
      <c r="F41" t="s">
        <v>151</v>
      </c>
      <c r="H41" s="157" t="s">
        <v>152</v>
      </c>
      <c r="M41" t="s">
        <v>154</v>
      </c>
    </row>
    <row r="61" spans="1:8" x14ac:dyDescent="0.25">
      <c r="A61" t="s">
        <v>158</v>
      </c>
      <c r="H61" t="s">
        <v>159</v>
      </c>
    </row>
    <row r="77" spans="1:8" x14ac:dyDescent="0.25">
      <c r="A77" t="s">
        <v>160</v>
      </c>
      <c r="H77" t="s">
        <v>160</v>
      </c>
    </row>
  </sheetData>
  <phoneticPr fontId="3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I25"/>
  <sheetViews>
    <sheetView showGridLines="0" workbookViewId="0">
      <selection activeCell="G45" sqref="G45"/>
    </sheetView>
  </sheetViews>
  <sheetFormatPr defaultColWidth="9" defaultRowHeight="12" x14ac:dyDescent="0.25"/>
  <cols>
    <col min="1" max="1" width="2.7109375" style="93" bestFit="1" customWidth="1"/>
    <col min="2" max="2" width="22.5703125" style="93" customWidth="1"/>
    <col min="3" max="3" width="11.28515625" style="93" customWidth="1"/>
    <col min="4" max="4" width="4.42578125" style="93" customWidth="1"/>
    <col min="5" max="5" width="11.28515625" style="93" customWidth="1"/>
    <col min="6" max="6" width="8.42578125" style="93" customWidth="1"/>
    <col min="7" max="8" width="9" style="93"/>
    <col min="9" max="9" width="7.140625" style="93" customWidth="1"/>
    <col min="10" max="16384" width="9" style="93"/>
  </cols>
  <sheetData>
    <row r="3" spans="1:9" x14ac:dyDescent="0.25">
      <c r="B3" s="108" t="s">
        <v>125</v>
      </c>
      <c r="C3" s="194">
        <v>3.15E-2</v>
      </c>
    </row>
    <row r="4" spans="1:9" x14ac:dyDescent="0.25">
      <c r="B4" s="108" t="s">
        <v>196</v>
      </c>
      <c r="C4" s="106" t="str">
        <f>'Historical Data Input'!H71</f>
        <v>AA-</v>
      </c>
    </row>
    <row r="5" spans="1:9" x14ac:dyDescent="0.25">
      <c r="A5" s="107" t="s">
        <v>28</v>
      </c>
      <c r="B5" s="108" t="s">
        <v>129</v>
      </c>
      <c r="C5" s="194">
        <v>6.1999999999999998E-3</v>
      </c>
      <c r="I5" s="108"/>
    </row>
    <row r="6" spans="1:9" x14ac:dyDescent="0.25">
      <c r="A6" s="93" t="s">
        <v>10</v>
      </c>
      <c r="B6" s="155" t="s">
        <v>126</v>
      </c>
      <c r="C6" s="163">
        <f>C3+C5</f>
        <v>3.7699999999999997E-2</v>
      </c>
      <c r="I6" s="108"/>
    </row>
    <row r="7" spans="1:9" x14ac:dyDescent="0.25">
      <c r="B7" s="108" t="s">
        <v>106</v>
      </c>
      <c r="C7" s="194">
        <v>0.25</v>
      </c>
      <c r="I7" s="108"/>
    </row>
    <row r="8" spans="1:9" ht="12.75" thickBot="1" x14ac:dyDescent="0.3">
      <c r="B8" s="156" t="s">
        <v>197</v>
      </c>
      <c r="C8" s="111">
        <f>C6*(1-C7)</f>
        <v>2.8274999999999998E-2</v>
      </c>
    </row>
    <row r="9" spans="1:9" ht="12.75" thickTop="1" x14ac:dyDescent="0.25">
      <c r="C9" s="110"/>
    </row>
    <row r="10" spans="1:9" x14ac:dyDescent="0.25">
      <c r="B10" s="108" t="s">
        <v>127</v>
      </c>
      <c r="C10" s="195">
        <v>0.8</v>
      </c>
    </row>
    <row r="11" spans="1:9" x14ac:dyDescent="0.25">
      <c r="A11" s="93" t="s">
        <v>12</v>
      </c>
      <c r="B11" s="108" t="s">
        <v>128</v>
      </c>
      <c r="C11" s="194">
        <v>0.05</v>
      </c>
    </row>
    <row r="12" spans="1:9" x14ac:dyDescent="0.25">
      <c r="A12" s="93" t="s">
        <v>13</v>
      </c>
      <c r="B12" s="108" t="s">
        <v>130</v>
      </c>
      <c r="C12" s="110">
        <f>C11*C10</f>
        <v>4.0000000000000008E-2</v>
      </c>
    </row>
    <row r="13" spans="1:9" x14ac:dyDescent="0.25">
      <c r="A13" s="93" t="s">
        <v>14</v>
      </c>
      <c r="B13" s="93" t="str">
        <f>B3</f>
        <v>リスクフリー・レート</v>
      </c>
      <c r="C13" s="110">
        <f>C3</f>
        <v>3.15E-2</v>
      </c>
    </row>
    <row r="14" spans="1:9" ht="12.75" thickBot="1" x14ac:dyDescent="0.3">
      <c r="A14" s="93" t="s">
        <v>15</v>
      </c>
      <c r="B14" s="156" t="s">
        <v>131</v>
      </c>
      <c r="C14" s="111">
        <f>C13+C12</f>
        <v>7.1500000000000008E-2</v>
      </c>
    </row>
    <row r="15" spans="1:9" ht="12.75" thickTop="1" x14ac:dyDescent="0.25">
      <c r="C15" s="110"/>
    </row>
    <row r="16" spans="1:9" x14ac:dyDescent="0.25">
      <c r="B16" s="109" t="str">
        <f>'Drivers&amp;Forecast'!B37</f>
        <v>有利子負債</v>
      </c>
      <c r="C16" s="112">
        <f>'Drivers&amp;Forecast'!H37</f>
        <v>3474</v>
      </c>
    </row>
    <row r="17" spans="1:3" x14ac:dyDescent="0.25">
      <c r="A17" s="93" t="s">
        <v>19</v>
      </c>
      <c r="B17" s="93" t="str">
        <f>'Drivers&amp;Forecast'!A38</f>
        <v>少数株主持ち分</v>
      </c>
      <c r="C17" s="113">
        <f>'Drivers&amp;Forecast'!H38</f>
        <v>0</v>
      </c>
    </row>
    <row r="18" spans="1:3" x14ac:dyDescent="0.25">
      <c r="A18" s="93" t="s">
        <v>20</v>
      </c>
      <c r="B18" s="155" t="s">
        <v>132</v>
      </c>
      <c r="C18" s="112">
        <f>'Historical Data Input'!H70*'Historical Data Input'!H73</f>
        <v>119753.49053316</v>
      </c>
    </row>
    <row r="19" spans="1:3" ht="12.75" thickBot="1" x14ac:dyDescent="0.3">
      <c r="A19" s="93" t="s">
        <v>21</v>
      </c>
      <c r="B19" s="156" t="s">
        <v>133</v>
      </c>
      <c r="C19" s="114">
        <f>SUM(C16:C18)</f>
        <v>123227.49053316</v>
      </c>
    </row>
    <row r="20" spans="1:3" ht="12.75" thickTop="1" x14ac:dyDescent="0.25">
      <c r="C20" s="113"/>
    </row>
    <row r="21" spans="1:3" x14ac:dyDescent="0.25">
      <c r="B21" s="108" t="s">
        <v>134</v>
      </c>
      <c r="C21" s="166">
        <f>IF(C16&lt;0,0,C16/C19)</f>
        <v>2.8191761310477723E-2</v>
      </c>
    </row>
    <row r="22" spans="1:3" x14ac:dyDescent="0.25">
      <c r="B22" s="108" t="s">
        <v>135</v>
      </c>
      <c r="C22" s="110">
        <f>1-C21</f>
        <v>0.97180823868952226</v>
      </c>
    </row>
    <row r="23" spans="1:3" ht="12.75" thickBot="1" x14ac:dyDescent="0.3">
      <c r="B23" s="156" t="s">
        <v>136</v>
      </c>
      <c r="C23" s="111">
        <f>C22*$C14+C21*$C8</f>
        <v>7.02814111173546E-2</v>
      </c>
    </row>
    <row r="24" spans="1:3" ht="12.75" thickTop="1" x14ac:dyDescent="0.25"/>
    <row r="25" spans="1:3" x14ac:dyDescent="0.25">
      <c r="C25" s="115"/>
    </row>
  </sheetData>
  <phoneticPr fontId="3"/>
  <pageMargins left="0.7" right="0.7" top="0.75" bottom="0.75" header="0.3" footer="0.3"/>
  <pageSetup paperSize="9" orientation="portrait" horizontalDpi="4294967293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91"/>
  <sheetViews>
    <sheetView showGridLines="0" topLeftCell="A40" workbookViewId="0">
      <selection activeCell="I68" sqref="I68"/>
    </sheetView>
  </sheetViews>
  <sheetFormatPr defaultColWidth="9" defaultRowHeight="12" outlineLevelRow="1" x14ac:dyDescent="0.2"/>
  <cols>
    <col min="1" max="1" width="2" style="1" customWidth="1"/>
    <col min="2" max="2" width="30.28515625" style="1" customWidth="1"/>
    <col min="3" max="3" width="1.42578125" style="2" customWidth="1"/>
    <col min="4" max="4" width="9.140625" style="1" customWidth="1"/>
    <col min="5" max="5" width="1.28515625" style="2" customWidth="1"/>
    <col min="6" max="6" width="10.140625" style="1" customWidth="1"/>
    <col min="7" max="10" width="7.7109375" style="1" customWidth="1"/>
    <col min="11" max="16384" width="9" style="1"/>
  </cols>
  <sheetData>
    <row r="1" spans="1:17" x14ac:dyDescent="0.2">
      <c r="A1" s="1" t="str">
        <f>'Historical Data Input'!A1</f>
        <v>企業名</v>
      </c>
      <c r="D1" s="1" t="str">
        <f>'Historical Data Input'!D1</f>
        <v>通貨</v>
      </c>
      <c r="E1" s="1" t="str">
        <f>'Historical Data Input'!E1</f>
        <v>ドル</v>
      </c>
      <c r="J1" s="45"/>
    </row>
    <row r="2" spans="1:17" ht="14.25" x14ac:dyDescent="0.2">
      <c r="A2" s="28" t="str">
        <f>'Historical Data Input'!A2</f>
        <v>ナイキ</v>
      </c>
      <c r="D2" s="1" t="str">
        <f>'Historical Data Input'!D2</f>
        <v>単位</v>
      </c>
      <c r="E2" s="1" t="str">
        <f>'Historical Data Input'!E2</f>
        <v>百万</v>
      </c>
      <c r="J2" s="45"/>
    </row>
    <row r="3" spans="1:17" s="4" customFormat="1" ht="15" x14ac:dyDescent="0.25">
      <c r="C3" s="6"/>
      <c r="D3" s="7"/>
      <c r="E3" s="8"/>
    </row>
    <row r="4" spans="1:17" ht="15" x14ac:dyDescent="0.25">
      <c r="A4" s="4" t="s">
        <v>168</v>
      </c>
      <c r="B4" s="5"/>
      <c r="D4" s="9"/>
      <c r="F4" s="132" t="s">
        <v>107</v>
      </c>
      <c r="G4" s="9"/>
      <c r="H4" s="9"/>
      <c r="I4" s="9"/>
      <c r="J4" s="9"/>
      <c r="K4" s="131" t="s">
        <v>172</v>
      </c>
    </row>
    <row r="5" spans="1:17" ht="12.75" thickBot="1" x14ac:dyDescent="0.25">
      <c r="D5" s="10">
        <f>'Drivers&amp;Forecast'!H48</f>
        <v>2018</v>
      </c>
      <c r="E5" s="32"/>
      <c r="F5" s="10">
        <f>'Drivers&amp;Forecast'!J48</f>
        <v>2019</v>
      </c>
      <c r="G5" s="10">
        <f>'Drivers&amp;Forecast'!K48</f>
        <v>2020</v>
      </c>
      <c r="H5" s="10">
        <f>'Drivers&amp;Forecast'!L48</f>
        <v>2021</v>
      </c>
      <c r="I5" s="10">
        <f>'Drivers&amp;Forecast'!M48</f>
        <v>2022</v>
      </c>
      <c r="J5" s="10">
        <f>'Drivers&amp;Forecast'!N48</f>
        <v>2023</v>
      </c>
      <c r="K5" s="58" t="s">
        <v>39</v>
      </c>
      <c r="L5" s="58" t="s">
        <v>40</v>
      </c>
    </row>
    <row r="6" spans="1:17" ht="6" customHeight="1" thickTop="1" x14ac:dyDescent="0.2">
      <c r="D6" s="11"/>
      <c r="E6" s="33"/>
      <c r="F6" s="12"/>
      <c r="G6" s="12"/>
    </row>
    <row r="7" spans="1:17" ht="12" customHeight="1" x14ac:dyDescent="0.2">
      <c r="B7" s="42" t="str">
        <f>'Drivers&amp;Forecast'!B50</f>
        <v>NOPAT</v>
      </c>
      <c r="D7" s="124">
        <f>'Drivers&amp;Forecast'!H50</f>
        <v>1986.6323699421969</v>
      </c>
      <c r="E7" s="33"/>
      <c r="F7" s="124">
        <f>'Drivers&amp;Forecast'!J50</f>
        <v>3634.012968749998</v>
      </c>
      <c r="G7" s="124">
        <f>'Drivers&amp;Forecast'!K50</f>
        <v>4043.9296316250002</v>
      </c>
      <c r="H7" s="124">
        <f>'Drivers&amp;Forecast'!L50</f>
        <v>4514.4252906890597</v>
      </c>
      <c r="I7" s="124">
        <f>'Drivers&amp;Forecast'!M50</f>
        <v>4875.5793139441848</v>
      </c>
      <c r="J7" s="124">
        <f>'Drivers&amp;Forecast'!N50</f>
        <v>5290.0035556294415</v>
      </c>
      <c r="K7" s="120">
        <f>J7*(1+D25)</f>
        <v>5475.1536800764716</v>
      </c>
      <c r="L7" s="120">
        <f>K7*(1+D25)</f>
        <v>5666.7840588791478</v>
      </c>
    </row>
    <row r="8" spans="1:17" s="16" customFormat="1" x14ac:dyDescent="0.2">
      <c r="A8" s="13"/>
      <c r="B8" s="2" t="str">
        <f>'Drivers&amp;Forecast'!B57</f>
        <v>営業キャッシュフロー</v>
      </c>
      <c r="C8" s="2"/>
      <c r="D8" s="19">
        <f>'Drivers&amp;Forecast'!H57</f>
        <v>5535.6323699421973</v>
      </c>
      <c r="E8" s="20"/>
      <c r="F8" s="19">
        <f>'Drivers&amp;Forecast'!J57</f>
        <v>3769.0965037499986</v>
      </c>
      <c r="G8" s="19">
        <f>'Drivers&amp;Forecast'!K57</f>
        <v>4742.4353777250008</v>
      </c>
      <c r="H8" s="19">
        <f>'Drivers&amp;Forecast'!L57</f>
        <v>5255.8123898203103</v>
      </c>
      <c r="I8" s="19">
        <f>'Drivers&amp;Forecast'!M57</f>
        <v>5713.8133432276854</v>
      </c>
      <c r="J8" s="19">
        <f>'Drivers&amp;Forecast'!N57</f>
        <v>6243.9317157206433</v>
      </c>
    </row>
    <row r="9" spans="1:17" s="16" customFormat="1" x14ac:dyDescent="0.2">
      <c r="A9" s="34" t="s">
        <v>29</v>
      </c>
      <c r="B9" s="3" t="str">
        <f>'Drivers&amp;Forecast'!B61</f>
        <v>投資額</v>
      </c>
      <c r="C9" s="3"/>
      <c r="D9" s="20">
        <f>'Drivers&amp;Forecast'!H61</f>
        <v>951</v>
      </c>
      <c r="E9" s="20"/>
      <c r="F9" s="20">
        <f>'Drivers&amp;Forecast'!J61</f>
        <v>1203.3427099999999</v>
      </c>
      <c r="G9" s="20">
        <f>'Drivers&amp;Forecast'!K61</f>
        <v>1419.1062910500009</v>
      </c>
      <c r="H9" s="20">
        <f>'Drivers&amp;Forecast'!L61</f>
        <v>1567.8004110299994</v>
      </c>
      <c r="I9" s="20">
        <f>'Drivers&amp;Forecast'!M61</f>
        <v>1738.8897415987497</v>
      </c>
      <c r="J9" s="20">
        <f>'Drivers&amp;Forecast'!N61</f>
        <v>1884.0201546475687</v>
      </c>
    </row>
    <row r="10" spans="1:17" s="16" customFormat="1" x14ac:dyDescent="0.2">
      <c r="A10" s="17" t="s">
        <v>30</v>
      </c>
      <c r="B10" s="17" t="s">
        <v>31</v>
      </c>
      <c r="C10" s="13"/>
      <c r="D10" s="18">
        <f>'Drivers&amp;Forecast'!H63</f>
        <v>4584.6323699421973</v>
      </c>
      <c r="E10" s="15"/>
      <c r="F10" s="18">
        <f>'Drivers&amp;Forecast'!J63</f>
        <v>2565.7537937499987</v>
      </c>
      <c r="G10" s="18">
        <f>'Drivers&amp;Forecast'!K63</f>
        <v>3323.3290866749999</v>
      </c>
      <c r="H10" s="18">
        <f>'Drivers&amp;Forecast'!L63</f>
        <v>3688.0119787903109</v>
      </c>
      <c r="I10" s="18">
        <f>'Drivers&amp;Forecast'!M63</f>
        <v>3974.923601628936</v>
      </c>
      <c r="J10" s="18">
        <f>'Drivers&amp;Forecast'!N63</f>
        <v>4359.9115610730751</v>
      </c>
      <c r="K10" s="123">
        <f>K7*(1-D25/K58)</f>
        <v>4854.5329542212585</v>
      </c>
      <c r="L10" s="123">
        <f>L7*(1-D25/K58)</f>
        <v>5024.4416076190018</v>
      </c>
      <c r="O10" s="123"/>
    </row>
    <row r="11" spans="1:17" x14ac:dyDescent="0.2">
      <c r="A11" s="13"/>
      <c r="B11" s="2"/>
      <c r="D11" s="19"/>
      <c r="E11" s="20"/>
      <c r="F11" s="19"/>
      <c r="G11" s="19"/>
      <c r="H11" s="19"/>
      <c r="I11" s="19"/>
      <c r="J11" s="19"/>
      <c r="K11" s="87">
        <f>K10/J10-1</f>
        <v>0.11344757484632217</v>
      </c>
      <c r="L11" s="87">
        <f>L10/K10-1</f>
        <v>3.499999999999992E-2</v>
      </c>
      <c r="M11" s="1" t="s">
        <v>41</v>
      </c>
    </row>
    <row r="12" spans="1:17" hidden="1" outlineLevel="1" x14ac:dyDescent="0.2">
      <c r="A12" s="13"/>
      <c r="B12" s="138" t="s">
        <v>124</v>
      </c>
      <c r="D12" s="19">
        <f>D8-D9-D10</f>
        <v>0</v>
      </c>
      <c r="E12" s="20"/>
      <c r="F12" s="19">
        <f>F8-F9-F10</f>
        <v>0</v>
      </c>
      <c r="G12" s="19">
        <f>G8-G9-G10</f>
        <v>0</v>
      </c>
      <c r="H12" s="19">
        <f>H8-H9-H10</f>
        <v>0</v>
      </c>
      <c r="I12" s="19">
        <f>I8-I9-I10</f>
        <v>0</v>
      </c>
      <c r="J12" s="19">
        <f>J8-J9-J10</f>
        <v>0</v>
      </c>
      <c r="O12" s="87"/>
    </row>
    <row r="13" spans="1:17" hidden="1" outlineLevel="1" x14ac:dyDescent="0.2">
      <c r="A13" s="13"/>
      <c r="B13" s="2"/>
      <c r="D13" s="19"/>
      <c r="E13" s="20"/>
      <c r="F13" s="19"/>
      <c r="G13" s="19"/>
      <c r="H13" s="19"/>
      <c r="I13" s="19"/>
      <c r="J13" s="19"/>
      <c r="Q13" s="1" t="s">
        <v>38</v>
      </c>
    </row>
    <row r="14" spans="1:17" collapsed="1" x14ac:dyDescent="0.2">
      <c r="A14" s="1" t="str">
        <f>'Drivers&amp;Forecast'!A91</f>
        <v>再投資率 =純投資額÷NOPAT</v>
      </c>
      <c r="B14" s="2"/>
      <c r="D14" s="88">
        <f>1-(D10/D7)</f>
        <v>-1.3077406969240073</v>
      </c>
      <c r="E14" s="20"/>
      <c r="F14" s="88">
        <f t="shared" ref="F14:L14" si="0">1-(F10/F7)</f>
        <v>0.29396129958431361</v>
      </c>
      <c r="G14" s="88">
        <f t="shared" si="0"/>
        <v>0.17819314641744555</v>
      </c>
      <c r="H14" s="88">
        <f t="shared" si="0"/>
        <v>0.18306057995980463</v>
      </c>
      <c r="I14" s="88">
        <f t="shared" si="0"/>
        <v>0.18472793781435748</v>
      </c>
      <c r="J14" s="88">
        <f t="shared" si="0"/>
        <v>0.17582067474540619</v>
      </c>
      <c r="K14" s="88">
        <f t="shared" si="0"/>
        <v>0.11335220198724083</v>
      </c>
      <c r="L14" s="88">
        <f t="shared" si="0"/>
        <v>0.11335220198724094</v>
      </c>
      <c r="O14" s="87"/>
    </row>
    <row r="15" spans="1:17" hidden="1" outlineLevel="1" x14ac:dyDescent="0.2">
      <c r="A15" s="13"/>
      <c r="B15" s="138" t="s">
        <v>124</v>
      </c>
      <c r="D15" s="19">
        <f>D14-'Drivers&amp;Forecast'!H91</f>
        <v>0</v>
      </c>
      <c r="E15" s="20"/>
      <c r="F15" s="19">
        <f>F14-'Drivers&amp;Forecast'!J91</f>
        <v>0</v>
      </c>
      <c r="G15" s="19">
        <f>G14-'Drivers&amp;Forecast'!K91</f>
        <v>0</v>
      </c>
      <c r="H15" s="19">
        <f>H14-'Drivers&amp;Forecast'!L91</f>
        <v>0</v>
      </c>
      <c r="I15" s="19">
        <f>I14-'Drivers&amp;Forecast'!M91</f>
        <v>0</v>
      </c>
      <c r="J15" s="19">
        <f>J14-'Drivers&amp;Forecast'!N91</f>
        <v>0</v>
      </c>
    </row>
    <row r="16" spans="1:17" collapsed="1" x14ac:dyDescent="0.2">
      <c r="A16" s="13"/>
      <c r="B16" s="2"/>
      <c r="D16" s="19"/>
      <c r="E16" s="20"/>
      <c r="F16" s="19"/>
      <c r="G16" s="19"/>
      <c r="H16" s="19"/>
      <c r="I16" s="19"/>
      <c r="J16" s="19"/>
    </row>
    <row r="17" spans="1:12" x14ac:dyDescent="0.2">
      <c r="A17" s="16" t="s">
        <v>3</v>
      </c>
      <c r="D17" s="39">
        <f>WACC!C23</f>
        <v>7.02814111173546E-2</v>
      </c>
      <c r="E17" s="20"/>
      <c r="F17" s="19"/>
      <c r="G17" s="19"/>
      <c r="H17" s="19"/>
      <c r="I17" s="19"/>
      <c r="J17" s="19"/>
    </row>
    <row r="18" spans="1:12" x14ac:dyDescent="0.2">
      <c r="A18" s="13"/>
      <c r="B18" s="2"/>
      <c r="D18" s="19"/>
      <c r="E18" s="20"/>
      <c r="F18" s="19"/>
      <c r="G18" s="19"/>
      <c r="H18" s="19"/>
      <c r="I18" s="19"/>
      <c r="J18" s="19"/>
    </row>
    <row r="19" spans="1:12" hidden="1" outlineLevel="1" x14ac:dyDescent="0.2">
      <c r="A19" s="13"/>
      <c r="B19" s="138" t="s">
        <v>163</v>
      </c>
      <c r="D19" s="19"/>
      <c r="E19" s="20"/>
      <c r="F19" s="19">
        <v>1</v>
      </c>
      <c r="G19" s="19">
        <f>F19+1</f>
        <v>2</v>
      </c>
      <c r="H19" s="19">
        <f>G19+1</f>
        <v>3</v>
      </c>
      <c r="I19" s="19">
        <f>H19+1</f>
        <v>4</v>
      </c>
      <c r="J19" s="19">
        <f>I19+1</f>
        <v>5</v>
      </c>
    </row>
    <row r="20" spans="1:12" hidden="1" outlineLevel="1" x14ac:dyDescent="0.2">
      <c r="A20" s="13"/>
      <c r="B20" s="138" t="s">
        <v>164</v>
      </c>
      <c r="D20" s="19"/>
      <c r="E20" s="20"/>
      <c r="F20" s="91">
        <f>1/(1+$D$17)^F19</f>
        <v>0.93433370851131381</v>
      </c>
      <c r="G20" s="91">
        <f>1/(1+$D$17)^G19</f>
        <v>0.87297947886050464</v>
      </c>
      <c r="H20" s="91">
        <f>1/(1+$D$17)^H19</f>
        <v>0.81565415393800933</v>
      </c>
      <c r="I20" s="91">
        <f>1/(1+$D$17)^I19</f>
        <v>0.76209317051155834</v>
      </c>
      <c r="J20" s="91">
        <f>1/(1+$D$17)^J19</f>
        <v>0.71204933823520922</v>
      </c>
    </row>
    <row r="21" spans="1:12" collapsed="1" x14ac:dyDescent="0.2">
      <c r="A21" s="17" t="s">
        <v>165</v>
      </c>
      <c r="B21" s="21"/>
      <c r="D21" s="19"/>
      <c r="E21" s="20"/>
      <c r="F21" s="22">
        <f>F10*F20</f>
        <v>2397.2702572414091</v>
      </c>
      <c r="G21" s="22">
        <f>G10*G20</f>
        <v>2901.1980941674983</v>
      </c>
      <c r="H21" s="22">
        <f>H10*H20</f>
        <v>3008.1422902734548</v>
      </c>
      <c r="I21" s="22">
        <f>I10*I20</f>
        <v>3029.2621301066183</v>
      </c>
      <c r="J21" s="22">
        <f>J10*J20</f>
        <v>3104.4721418261211</v>
      </c>
    </row>
    <row r="22" spans="1:12" x14ac:dyDescent="0.2">
      <c r="A22" s="13"/>
      <c r="B22" s="2"/>
      <c r="D22" s="19"/>
      <c r="E22" s="20"/>
      <c r="F22" s="19"/>
      <c r="G22" s="19"/>
      <c r="H22" s="19"/>
      <c r="I22" s="19"/>
      <c r="J22" s="19"/>
    </row>
    <row r="23" spans="1:12" hidden="1" outlineLevel="1" x14ac:dyDescent="0.2">
      <c r="A23" s="13"/>
      <c r="B23" s="2" t="str">
        <f>'Drivers&amp;Forecast'!A93</f>
        <v>サステイナブル成長率 =ROCx再投資率</v>
      </c>
      <c r="D23" s="88">
        <f>'Drivers&amp;Forecast'!N93</f>
        <v>5.5356263481323581E-2</v>
      </c>
      <c r="E23" s="20"/>
      <c r="F23" s="19"/>
      <c r="G23" s="19"/>
      <c r="H23" s="19"/>
      <c r="I23" s="19"/>
      <c r="J23" s="19"/>
    </row>
    <row r="24" spans="1:12" hidden="1" outlineLevel="1" x14ac:dyDescent="0.2">
      <c r="A24" s="17"/>
      <c r="B24" s="21" t="str">
        <f>'Drivers&amp;Forecast'!B95</f>
        <v>実績+予測平均成長率</v>
      </c>
      <c r="D24" s="121">
        <f>'Drivers&amp;Forecast'!N95</f>
        <v>5.9484682697882207E-2</v>
      </c>
      <c r="E24" s="20"/>
      <c r="F24" s="19"/>
      <c r="G24" s="19"/>
      <c r="H24" s="19"/>
      <c r="I24" s="19"/>
      <c r="J24" s="19"/>
    </row>
    <row r="25" spans="1:12" collapsed="1" x14ac:dyDescent="0.2">
      <c r="A25" s="13"/>
      <c r="B25" s="138" t="s">
        <v>166</v>
      </c>
      <c r="D25" s="180">
        <v>3.5000000000000003E-2</v>
      </c>
      <c r="E25" s="20"/>
      <c r="F25" s="19"/>
      <c r="G25" s="19"/>
      <c r="H25" s="19"/>
      <c r="I25" s="19"/>
      <c r="J25" s="19"/>
    </row>
    <row r="26" spans="1:12" ht="12.75" thickBot="1" x14ac:dyDescent="0.25">
      <c r="A26" s="30"/>
      <c r="B26" s="152" t="s">
        <v>167</v>
      </c>
      <c r="D26" s="37">
        <f>K10/(D17-D25)</f>
        <v>137594.63696261737</v>
      </c>
      <c r="E26" s="20"/>
      <c r="H26" s="19"/>
      <c r="I26" s="19"/>
      <c r="J26" s="19"/>
      <c r="K26" s="19" t="s">
        <v>37</v>
      </c>
      <c r="L26" s="19"/>
    </row>
    <row r="27" spans="1:12" ht="12.75" thickTop="1" x14ac:dyDescent="0.2">
      <c r="A27" s="13"/>
      <c r="B27" s="2"/>
      <c r="D27" s="19"/>
      <c r="E27" s="20"/>
      <c r="G27" s="19"/>
      <c r="H27" s="19"/>
      <c r="I27" s="19"/>
      <c r="J27" s="19"/>
      <c r="K27" s="126" t="s">
        <v>36</v>
      </c>
    </row>
    <row r="28" spans="1:12" x14ac:dyDescent="0.2">
      <c r="D28" s="38"/>
      <c r="E28" s="20"/>
      <c r="F28" s="19"/>
      <c r="G28" s="19"/>
      <c r="H28" s="19"/>
      <c r="I28" s="19"/>
      <c r="J28" s="19"/>
    </row>
    <row r="29" spans="1:12" x14ac:dyDescent="0.2">
      <c r="B29" s="2" t="s">
        <v>173</v>
      </c>
      <c r="D29" s="19">
        <f>SUM(F21:J21)</f>
        <v>14440.344913615103</v>
      </c>
      <c r="E29" s="20"/>
      <c r="G29" s="19"/>
      <c r="H29" s="19"/>
      <c r="I29" s="19"/>
      <c r="J29" s="19"/>
    </row>
    <row r="30" spans="1:12" x14ac:dyDescent="0.2">
      <c r="A30" s="2" t="s">
        <v>32</v>
      </c>
      <c r="B30" s="138" t="s">
        <v>174</v>
      </c>
      <c r="D30" s="19">
        <f>D26*J20</f>
        <v>97974.170193945552</v>
      </c>
      <c r="E30" s="20"/>
      <c r="G30" s="19"/>
      <c r="H30" s="19"/>
      <c r="I30" s="19"/>
      <c r="K30" s="43"/>
    </row>
    <row r="31" spans="1:12" x14ac:dyDescent="0.2">
      <c r="A31" s="17" t="s">
        <v>30</v>
      </c>
      <c r="B31" s="141" t="s">
        <v>194</v>
      </c>
      <c r="D31" s="18">
        <f>D29+D30</f>
        <v>112414.51510756066</v>
      </c>
      <c r="E31" s="20"/>
      <c r="F31" s="42"/>
      <c r="G31" s="19"/>
      <c r="H31" s="19"/>
      <c r="I31" s="19"/>
      <c r="K31" s="43"/>
    </row>
    <row r="32" spans="1:12" x14ac:dyDescent="0.2">
      <c r="A32" s="13"/>
      <c r="B32" s="2" t="str">
        <f>'Historical Data Input'!B19</f>
        <v>現金及び同等物</v>
      </c>
      <c r="D32" s="19">
        <f>'Historical Data Input'!H19</f>
        <v>4249</v>
      </c>
      <c r="E32" s="20"/>
      <c r="G32" s="19"/>
      <c r="H32" s="19"/>
      <c r="I32" s="19"/>
      <c r="K32" s="43"/>
    </row>
    <row r="33" spans="1:11" x14ac:dyDescent="0.2">
      <c r="A33" s="13"/>
      <c r="B33" s="2" t="str">
        <f>'Historical Data Input'!B20</f>
        <v>有価証券</v>
      </c>
      <c r="D33" s="19">
        <f>'Historical Data Input'!H20</f>
        <v>996</v>
      </c>
      <c r="E33" s="20"/>
      <c r="G33" s="19"/>
      <c r="H33" s="19"/>
      <c r="I33" s="19"/>
      <c r="K33" s="43"/>
    </row>
    <row r="34" spans="1:11" x14ac:dyDescent="0.2">
      <c r="A34" s="13"/>
      <c r="B34" s="2" t="str">
        <f>'Historical Data Input'!A26</f>
        <v>投資有価証券</v>
      </c>
      <c r="D34" s="19">
        <f>'Historical Data Input'!H26</f>
        <v>0</v>
      </c>
      <c r="E34" s="20"/>
      <c r="G34" s="19"/>
      <c r="H34" s="19"/>
      <c r="I34" s="19"/>
      <c r="K34" s="43"/>
    </row>
    <row r="35" spans="1:11" x14ac:dyDescent="0.2">
      <c r="A35" s="41" t="s">
        <v>2</v>
      </c>
      <c r="B35" s="142" t="s">
        <v>175</v>
      </c>
      <c r="C35" s="3"/>
      <c r="D35" s="15">
        <f>SUM(D32:D34)</f>
        <v>5245</v>
      </c>
      <c r="E35" s="20"/>
      <c r="G35" s="19"/>
      <c r="H35" s="19"/>
      <c r="I35" s="19"/>
      <c r="K35" s="43"/>
    </row>
    <row r="36" spans="1:11" outlineLevel="1" x14ac:dyDescent="0.2">
      <c r="A36" s="17" t="s">
        <v>2</v>
      </c>
      <c r="B36" s="141" t="s">
        <v>198</v>
      </c>
      <c r="C36" s="21"/>
      <c r="D36" s="196"/>
      <c r="E36" s="20"/>
      <c r="F36" s="131" t="s">
        <v>176</v>
      </c>
      <c r="G36" s="19"/>
      <c r="H36" s="19"/>
      <c r="I36" s="19"/>
      <c r="J36" s="19"/>
    </row>
    <row r="37" spans="1:11" x14ac:dyDescent="0.2">
      <c r="A37" s="31" t="s">
        <v>4</v>
      </c>
      <c r="B37" s="31" t="s">
        <v>177</v>
      </c>
      <c r="D37" s="14">
        <f>D31+D35+D36</f>
        <v>117659.51510756066</v>
      </c>
      <c r="E37" s="20"/>
      <c r="G37" s="19"/>
      <c r="H37" s="19"/>
      <c r="I37" s="19"/>
      <c r="J37" s="14"/>
    </row>
    <row r="38" spans="1:11" x14ac:dyDescent="0.2">
      <c r="A38" s="31"/>
      <c r="B38" s="2" t="str">
        <f>'Historical Data Input'!B31</f>
        <v>短期有利子負債</v>
      </c>
      <c r="D38" s="19">
        <f>'Historical Data Input'!H31</f>
        <v>6</v>
      </c>
      <c r="E38" s="20"/>
      <c r="G38" s="19"/>
      <c r="H38" s="19"/>
      <c r="I38" s="19"/>
      <c r="J38" s="14"/>
    </row>
    <row r="39" spans="1:11" x14ac:dyDescent="0.2">
      <c r="A39" s="31"/>
      <c r="B39" s="2" t="str">
        <f>'Historical Data Input'!B35</f>
        <v>長期有利子負債</v>
      </c>
      <c r="D39" s="19">
        <f>'Historical Data Input'!H35</f>
        <v>3468</v>
      </c>
      <c r="E39" s="20"/>
      <c r="G39" s="19"/>
      <c r="H39" s="19"/>
      <c r="I39" s="19"/>
      <c r="J39" s="14"/>
    </row>
    <row r="40" spans="1:11" x14ac:dyDescent="0.2">
      <c r="A40" s="13" t="s">
        <v>1</v>
      </c>
      <c r="B40" s="13" t="str">
        <f>'Drivers&amp;Forecast'!B37</f>
        <v>有利子負債</v>
      </c>
      <c r="C40" s="13"/>
      <c r="D40" s="14">
        <f>SUM(D38:D39)</f>
        <v>3474</v>
      </c>
      <c r="E40" s="15"/>
      <c r="G40" s="19"/>
      <c r="H40" s="19"/>
      <c r="I40" s="19"/>
      <c r="J40" s="19"/>
    </row>
    <row r="41" spans="1:11" x14ac:dyDescent="0.2">
      <c r="A41" s="13" t="s">
        <v>1</v>
      </c>
      <c r="B41" s="13" t="str">
        <f>'Historical Data Input'!A38</f>
        <v>少数株主持ち分</v>
      </c>
      <c r="C41" s="13"/>
      <c r="D41" s="14">
        <f>'Historical Data Input'!H38</f>
        <v>0</v>
      </c>
      <c r="E41" s="15"/>
      <c r="G41" s="19"/>
      <c r="H41" s="19"/>
      <c r="I41" s="19"/>
      <c r="J41" s="19"/>
    </row>
    <row r="42" spans="1:11" ht="12.75" thickBot="1" x14ac:dyDescent="0.25">
      <c r="A42" s="29" t="s">
        <v>30</v>
      </c>
      <c r="B42" s="140" t="s">
        <v>178</v>
      </c>
      <c r="C42" s="30"/>
      <c r="D42" s="37">
        <f>D37-D40-D41</f>
        <v>114185.51510756066</v>
      </c>
      <c r="E42" s="15"/>
      <c r="F42" s="36"/>
      <c r="G42" s="36"/>
      <c r="H42" s="36"/>
      <c r="I42" s="36"/>
      <c r="J42" s="36"/>
    </row>
    <row r="43" spans="1:11" ht="12.75" thickTop="1" x14ac:dyDescent="0.2">
      <c r="A43" s="13"/>
      <c r="B43" s="13"/>
      <c r="C43" s="13"/>
      <c r="D43" s="14"/>
      <c r="E43" s="15"/>
      <c r="F43" s="15"/>
      <c r="G43" s="15"/>
      <c r="H43" s="15"/>
      <c r="I43" s="15"/>
      <c r="J43" s="15"/>
    </row>
    <row r="44" spans="1:11" x14ac:dyDescent="0.2">
      <c r="A44" s="69" t="s">
        <v>208</v>
      </c>
      <c r="B44" s="1" t="str">
        <f>'Historical Data Input'!A70</f>
        <v>流通株式数</v>
      </c>
      <c r="D44" s="19">
        <f>'Historical Data Input'!H70</f>
        <v>1600.5545380000001</v>
      </c>
      <c r="E44" s="19"/>
      <c r="F44" s="26"/>
      <c r="G44" s="26"/>
    </row>
    <row r="45" spans="1:11" ht="12.75" thickBot="1" x14ac:dyDescent="0.25">
      <c r="A45" s="92" t="s">
        <v>10</v>
      </c>
      <c r="B45" s="158" t="s">
        <v>179</v>
      </c>
      <c r="C45" s="1"/>
      <c r="D45" s="165">
        <f>D42/D44</f>
        <v>71.341221055949205</v>
      </c>
      <c r="E45" s="19"/>
    </row>
    <row r="46" spans="1:11" ht="12.75" thickTop="1" x14ac:dyDescent="0.2">
      <c r="A46" s="48"/>
      <c r="B46" s="48"/>
      <c r="C46" s="1"/>
      <c r="D46" s="48"/>
      <c r="E46" s="19"/>
    </row>
    <row r="47" spans="1:11" x14ac:dyDescent="0.2">
      <c r="C47" s="1"/>
      <c r="E47" s="19"/>
      <c r="F47" s="26"/>
      <c r="G47" s="26"/>
    </row>
    <row r="48" spans="1:11" ht="15" x14ac:dyDescent="0.25">
      <c r="A48" s="4" t="s">
        <v>169</v>
      </c>
      <c r="B48" s="5"/>
      <c r="D48" s="9"/>
      <c r="F48" s="132" t="s">
        <v>107</v>
      </c>
      <c r="G48" s="9"/>
      <c r="H48" s="9"/>
      <c r="I48" s="9"/>
      <c r="J48" s="9"/>
      <c r="K48" s="131" t="s">
        <v>172</v>
      </c>
    </row>
    <row r="49" spans="1:14" ht="12.75" thickBot="1" x14ac:dyDescent="0.25">
      <c r="D49" s="10">
        <f>D5</f>
        <v>2018</v>
      </c>
      <c r="E49" s="32"/>
      <c r="F49" s="10">
        <f>F5</f>
        <v>2019</v>
      </c>
      <c r="G49" s="10">
        <f>G5</f>
        <v>2020</v>
      </c>
      <c r="H49" s="10">
        <f>H5</f>
        <v>2021</v>
      </c>
      <c r="I49" s="10">
        <f>I5</f>
        <v>2022</v>
      </c>
      <c r="J49" s="10">
        <f>J5</f>
        <v>2023</v>
      </c>
      <c r="K49" s="58" t="s">
        <v>39</v>
      </c>
    </row>
    <row r="50" spans="1:14" ht="12.75" thickTop="1" x14ac:dyDescent="0.2">
      <c r="D50" s="32"/>
      <c r="E50" s="32"/>
      <c r="F50" s="32"/>
      <c r="G50" s="32"/>
      <c r="H50" s="32"/>
      <c r="I50" s="32"/>
      <c r="J50" s="32"/>
      <c r="N50" s="2"/>
    </row>
    <row r="51" spans="1:14" x14ac:dyDescent="0.2">
      <c r="B51" s="42" t="str">
        <f>'Drivers&amp;Forecast'!B73</f>
        <v>NOPAT</v>
      </c>
      <c r="D51" s="42">
        <f>'Drivers&amp;Forecast'!H73</f>
        <v>1986.6323699421969</v>
      </c>
      <c r="F51" s="42">
        <f>'Drivers&amp;Forecast'!J73</f>
        <v>3634.012968749998</v>
      </c>
      <c r="G51" s="42">
        <f>'Drivers&amp;Forecast'!K73</f>
        <v>4043.9296316250002</v>
      </c>
      <c r="H51" s="42">
        <f>'Drivers&amp;Forecast'!L73</f>
        <v>4514.4252906890597</v>
      </c>
      <c r="I51" s="42">
        <f>'Drivers&amp;Forecast'!M73</f>
        <v>4875.5793139441848</v>
      </c>
      <c r="J51" s="42">
        <f>'Drivers&amp;Forecast'!N73</f>
        <v>5290.0035556294415</v>
      </c>
      <c r="K51" s="120">
        <f>J51*(1+D25)</f>
        <v>5475.1536800764716</v>
      </c>
      <c r="N51" s="2"/>
    </row>
    <row r="52" spans="1:14" x14ac:dyDescent="0.2">
      <c r="B52" s="42" t="str">
        <f>'Drivers&amp;Forecast'!B74</f>
        <v>期首投下資本</v>
      </c>
      <c r="D52" s="42">
        <f>'Drivers&amp;Forecast'!H74</f>
        <v>15884</v>
      </c>
      <c r="F52" s="42">
        <f>'Drivers&amp;Forecast'!J74</f>
        <v>13286</v>
      </c>
      <c r="G52" s="42">
        <f>'Drivers&amp;Forecast'!K74</f>
        <v>14354.259175000001</v>
      </c>
      <c r="H52" s="42">
        <f>'Drivers&amp;Forecast'!L74</f>
        <v>15074.85971995</v>
      </c>
      <c r="I52" s="42">
        <f>'Drivers&amp;Forecast'!M74</f>
        <v>15901.273031848748</v>
      </c>
      <c r="J52" s="42">
        <f>'Drivers&amp;Forecast'!N74</f>
        <v>16801.928744163997</v>
      </c>
      <c r="K52" s="120">
        <f>'Drivers&amp;Forecast'!N33</f>
        <v>17732.020738720366</v>
      </c>
      <c r="N52" s="2"/>
    </row>
    <row r="53" spans="1:14" x14ac:dyDescent="0.2">
      <c r="B53" s="42" t="str">
        <f>'Drivers&amp;Forecast'!B76</f>
        <v>資本費用</v>
      </c>
      <c r="D53" s="42">
        <f>'Drivers&amp;Forecast'!H76</f>
        <v>1116.3499341880604</v>
      </c>
      <c r="F53" s="42">
        <f>'Drivers&amp;Forecast'!J76</f>
        <v>933.75882810517317</v>
      </c>
      <c r="G53" s="42">
        <f>'Drivers&amp;Forecast'!K76</f>
        <v>1008.8375903632343</v>
      </c>
      <c r="H53" s="42">
        <f>'Drivers&amp;Forecast'!L76</f>
        <v>1059.4824135142551</v>
      </c>
      <c r="I53" s="42">
        <f>'Drivers&amp;Forecast'!M76</f>
        <v>1117.5639072406655</v>
      </c>
      <c r="J53" s="42">
        <f>'Drivers&amp;Forecast'!N76</f>
        <v>1180.8632616330874</v>
      </c>
      <c r="K53" s="120">
        <f>K52*D17</f>
        <v>1246.2314394794639</v>
      </c>
      <c r="N53" s="2"/>
    </row>
    <row r="54" spans="1:14" x14ac:dyDescent="0.2">
      <c r="A54" s="116"/>
      <c r="B54" s="116" t="str">
        <f>'Drivers&amp;Forecast'!B77</f>
        <v>EVA</v>
      </c>
      <c r="D54" s="117">
        <f>'Drivers&amp;Forecast'!H83</f>
        <v>870.28243575413626</v>
      </c>
      <c r="F54" s="117">
        <f>'Drivers&amp;Forecast'!J83</f>
        <v>2700.2541406448249</v>
      </c>
      <c r="G54" s="117">
        <f>'Drivers&amp;Forecast'!K83</f>
        <v>3035.0920412617661</v>
      </c>
      <c r="H54" s="117">
        <f>'Drivers&amp;Forecast'!L83</f>
        <v>3454.9428771748048</v>
      </c>
      <c r="I54" s="117">
        <f>'Drivers&amp;Forecast'!M83</f>
        <v>3758.0154067035191</v>
      </c>
      <c r="J54" s="117">
        <f>'Drivers&amp;Forecast'!N83</f>
        <v>4109.1402939963546</v>
      </c>
      <c r="K54" s="42">
        <f>K51-K53</f>
        <v>4228.9222405970077</v>
      </c>
      <c r="N54" s="2"/>
    </row>
    <row r="56" spans="1:14" hidden="1" outlineLevel="1" x14ac:dyDescent="0.2">
      <c r="B56" s="131" t="s">
        <v>124</v>
      </c>
      <c r="D56" s="42">
        <f>D51-D53-D54</f>
        <v>0</v>
      </c>
      <c r="F56" s="42">
        <f>F51-F53-F54</f>
        <v>0</v>
      </c>
      <c r="G56" s="42">
        <f>G51-G53-G54</f>
        <v>0</v>
      </c>
      <c r="H56" s="42">
        <f>H51-H53-H54</f>
        <v>0</v>
      </c>
      <c r="I56" s="42">
        <f>I51-I53-I54</f>
        <v>0</v>
      </c>
      <c r="J56" s="42">
        <f>J51-J53-J54</f>
        <v>0</v>
      </c>
    </row>
    <row r="57" spans="1:14" hidden="1" outlineLevel="1" x14ac:dyDescent="0.2">
      <c r="D57" s="42"/>
      <c r="F57" s="42"/>
      <c r="G57" s="42"/>
      <c r="H57" s="42"/>
      <c r="I57" s="42"/>
      <c r="J57" s="42"/>
    </row>
    <row r="58" spans="1:14" collapsed="1" x14ac:dyDescent="0.2">
      <c r="B58" s="82" t="str">
        <f>'Drivers&amp;Forecast'!B79</f>
        <v>ROC =NOPAT÷期首投下資本</v>
      </c>
      <c r="D58" s="87">
        <f>D51/D52</f>
        <v>0.1250712899736966</v>
      </c>
      <c r="F58" s="87">
        <f t="shared" ref="F58:J58" si="1">F51/F52</f>
        <v>0.2735219756698779</v>
      </c>
      <c r="G58" s="87">
        <f t="shared" si="1"/>
        <v>0.28172332562227126</v>
      </c>
      <c r="H58" s="87">
        <f t="shared" si="1"/>
        <v>0.29946715090918491</v>
      </c>
      <c r="I58" s="87">
        <f t="shared" si="1"/>
        <v>0.30661565927324558</v>
      </c>
      <c r="J58" s="87">
        <f t="shared" si="1"/>
        <v>0.31484501786539704</v>
      </c>
      <c r="K58" s="119">
        <f>K51/K52</f>
        <v>0.30877212252074021</v>
      </c>
    </row>
    <row r="59" spans="1:14" hidden="1" outlineLevel="1" x14ac:dyDescent="0.2">
      <c r="B59" s="131" t="s">
        <v>124</v>
      </c>
      <c r="D59" s="56">
        <f>D58-'Drivers&amp;Forecast'!H79</f>
        <v>0</v>
      </c>
      <c r="F59" s="56">
        <f>F58-'Drivers&amp;Forecast'!J79</f>
        <v>0</v>
      </c>
      <c r="G59" s="56">
        <f>G58-'Drivers&amp;Forecast'!K79</f>
        <v>0</v>
      </c>
      <c r="H59" s="56">
        <f>H58-'Drivers&amp;Forecast'!L79</f>
        <v>0</v>
      </c>
      <c r="I59" s="56">
        <f>I58-'Drivers&amp;Forecast'!M79</f>
        <v>0</v>
      </c>
      <c r="J59" s="56">
        <f>J58-'Drivers&amp;Forecast'!N79</f>
        <v>0</v>
      </c>
      <c r="K59" s="56"/>
    </row>
    <row r="60" spans="1:14" collapsed="1" x14ac:dyDescent="0.2">
      <c r="D60" s="56"/>
      <c r="F60" s="56"/>
      <c r="G60" s="56"/>
      <c r="H60" s="56"/>
      <c r="I60" s="56"/>
      <c r="J60" s="56"/>
    </row>
    <row r="61" spans="1:14" hidden="1" outlineLevel="1" x14ac:dyDescent="0.2">
      <c r="A61" s="13"/>
      <c r="B61" s="2" t="str">
        <f>B19</f>
        <v>時点</v>
      </c>
      <c r="D61" s="19"/>
      <c r="E61" s="20"/>
      <c r="F61" s="19">
        <v>1</v>
      </c>
      <c r="G61" s="19">
        <f>F61+1</f>
        <v>2</v>
      </c>
      <c r="H61" s="19">
        <f>G61+1</f>
        <v>3</v>
      </c>
      <c r="I61" s="19">
        <f>H61+1</f>
        <v>4</v>
      </c>
      <c r="J61" s="19">
        <f>I61+1</f>
        <v>5</v>
      </c>
    </row>
    <row r="62" spans="1:14" hidden="1" outlineLevel="1" x14ac:dyDescent="0.2">
      <c r="A62" s="13"/>
      <c r="B62" s="2" t="str">
        <f>B20</f>
        <v>現在価値ファクター</v>
      </c>
      <c r="D62" s="19"/>
      <c r="E62" s="20"/>
      <c r="F62" s="91">
        <f>1/(1+$D$17)^F61</f>
        <v>0.93433370851131381</v>
      </c>
      <c r="G62" s="91">
        <f>1/(1+$D$17)^G61</f>
        <v>0.87297947886050464</v>
      </c>
      <c r="H62" s="91">
        <f>1/(1+$D$17)^H61</f>
        <v>0.81565415393800933</v>
      </c>
      <c r="I62" s="91">
        <f>1/(1+$D$17)^I61</f>
        <v>0.76209317051155834</v>
      </c>
      <c r="J62" s="91">
        <f>1/(1+$D$17)^J61</f>
        <v>0.71204933823520922</v>
      </c>
    </row>
    <row r="63" spans="1:14" collapsed="1" x14ac:dyDescent="0.2">
      <c r="A63" s="17" t="s">
        <v>171</v>
      </c>
      <c r="B63" s="21"/>
      <c r="D63" s="19"/>
      <c r="E63" s="20"/>
      <c r="F63" s="22">
        <f>F54*F62</f>
        <v>2522.9384651517098</v>
      </c>
      <c r="G63" s="22">
        <f>G54*G62</f>
        <v>2649.5730684743617</v>
      </c>
      <c r="H63" s="22">
        <f>H54*H62</f>
        <v>2818.0385093861673</v>
      </c>
      <c r="I63" s="22">
        <f>I54*I62</f>
        <v>2863.9578761259681</v>
      </c>
      <c r="J63" s="22">
        <f>J54*J62</f>
        <v>2925.9106270557372</v>
      </c>
    </row>
    <row r="65" spans="1:7" ht="12.75" thickBot="1" x14ac:dyDescent="0.25">
      <c r="A65" s="30"/>
      <c r="B65" s="152" t="s">
        <v>170</v>
      </c>
      <c r="D65" s="37">
        <f>K54/D17+(K51*(D25/K58)*(K58-D17))/(D17*(D17-D25))</f>
        <v>119862.61622389703</v>
      </c>
      <c r="F65" s="118"/>
    </row>
    <row r="66" spans="1:7" ht="12.75" thickTop="1" x14ac:dyDescent="0.2">
      <c r="A66" s="13"/>
      <c r="B66" s="2"/>
      <c r="D66" s="19"/>
    </row>
    <row r="67" spans="1:7" x14ac:dyDescent="0.2">
      <c r="D67" s="38"/>
    </row>
    <row r="68" spans="1:7" x14ac:dyDescent="0.2">
      <c r="B68" s="2" t="s">
        <v>192</v>
      </c>
      <c r="D68" s="19">
        <f>SUM(F63:J63)</f>
        <v>13780.418546193943</v>
      </c>
    </row>
    <row r="69" spans="1:7" x14ac:dyDescent="0.2">
      <c r="A69" s="2" t="s">
        <v>32</v>
      </c>
      <c r="B69" s="138" t="s">
        <v>102</v>
      </c>
      <c r="D69" s="19">
        <f>F52</f>
        <v>13286</v>
      </c>
    </row>
    <row r="70" spans="1:7" x14ac:dyDescent="0.2">
      <c r="A70" s="2" t="s">
        <v>32</v>
      </c>
      <c r="B70" s="2" t="str">
        <f>B30</f>
        <v>ターミナル・バリューの現在価値</v>
      </c>
      <c r="D70" s="19">
        <f>D65*J62</f>
        <v>85348.096561366736</v>
      </c>
    </row>
    <row r="71" spans="1:7" x14ac:dyDescent="0.2">
      <c r="A71" s="17" t="s">
        <v>30</v>
      </c>
      <c r="B71" s="17" t="str">
        <f>B31</f>
        <v>事業価値</v>
      </c>
      <c r="D71" s="18">
        <f>SUM(D68:D70)</f>
        <v>112414.51510756067</v>
      </c>
      <c r="G71" s="42"/>
    </row>
    <row r="72" spans="1:7" x14ac:dyDescent="0.2">
      <c r="A72" s="13"/>
      <c r="B72" s="2" t="str">
        <f t="shared" ref="B72:B82" si="2">B32</f>
        <v>現金及び同等物</v>
      </c>
      <c r="D72" s="19">
        <f>D32</f>
        <v>4249</v>
      </c>
    </row>
    <row r="73" spans="1:7" x14ac:dyDescent="0.2">
      <c r="A73" s="13"/>
      <c r="B73" s="2" t="str">
        <f t="shared" si="2"/>
        <v>有価証券</v>
      </c>
      <c r="D73" s="19">
        <f>D33</f>
        <v>996</v>
      </c>
    </row>
    <row r="74" spans="1:7" x14ac:dyDescent="0.2">
      <c r="A74" s="13"/>
      <c r="B74" s="2" t="str">
        <f t="shared" si="2"/>
        <v>投資有価証券</v>
      </c>
      <c r="D74" s="19">
        <f>D34</f>
        <v>0</v>
      </c>
    </row>
    <row r="75" spans="1:7" x14ac:dyDescent="0.2">
      <c r="A75" s="41" t="str">
        <f>A35</f>
        <v>＋</v>
      </c>
      <c r="B75" s="41" t="str">
        <f t="shared" si="2"/>
        <v>金融資産（簿価）</v>
      </c>
      <c r="C75" s="3"/>
      <c r="D75" s="15">
        <f>SUM(D72:D74)</f>
        <v>5245</v>
      </c>
    </row>
    <row r="76" spans="1:7" x14ac:dyDescent="0.2">
      <c r="A76" s="17" t="str">
        <f>A36</f>
        <v>＋</v>
      </c>
      <c r="B76" s="17" t="str">
        <f t="shared" si="2"/>
        <v>その他の非事業資産（時価）</v>
      </c>
      <c r="C76" s="21"/>
      <c r="D76" s="18">
        <f>D36</f>
        <v>0</v>
      </c>
    </row>
    <row r="77" spans="1:7" x14ac:dyDescent="0.2">
      <c r="A77" s="31" t="str">
        <f>A37</f>
        <v>=</v>
      </c>
      <c r="B77" s="13" t="str">
        <f t="shared" si="2"/>
        <v>推定企業価値</v>
      </c>
      <c r="D77" s="14">
        <f>D71+D75+D76</f>
        <v>117659.51510756067</v>
      </c>
    </row>
    <row r="78" spans="1:7" x14ac:dyDescent="0.2">
      <c r="A78" s="31"/>
      <c r="B78" s="2" t="str">
        <f t="shared" si="2"/>
        <v>短期有利子負債</v>
      </c>
      <c r="D78" s="19">
        <f>D38</f>
        <v>6</v>
      </c>
    </row>
    <row r="79" spans="1:7" x14ac:dyDescent="0.2">
      <c r="A79" s="31"/>
      <c r="B79" s="2" t="str">
        <f t="shared" si="2"/>
        <v>長期有利子負債</v>
      </c>
      <c r="D79" s="19">
        <f>D39</f>
        <v>3468</v>
      </c>
    </row>
    <row r="80" spans="1:7" x14ac:dyDescent="0.2">
      <c r="A80" s="13" t="str">
        <f>A40</f>
        <v>－</v>
      </c>
      <c r="B80" s="13" t="str">
        <f t="shared" si="2"/>
        <v>有利子負債</v>
      </c>
      <c r="C80" s="13"/>
      <c r="D80" s="14">
        <f>SUM(D78:D79)</f>
        <v>3474</v>
      </c>
    </row>
    <row r="81" spans="1:7" x14ac:dyDescent="0.2">
      <c r="A81" s="13" t="str">
        <f>A41</f>
        <v>－</v>
      </c>
      <c r="B81" s="13" t="str">
        <f t="shared" si="2"/>
        <v>少数株主持ち分</v>
      </c>
      <c r="C81" s="13"/>
      <c r="D81" s="14">
        <f>D41</f>
        <v>0</v>
      </c>
    </row>
    <row r="82" spans="1:7" ht="12.75" thickBot="1" x14ac:dyDescent="0.25">
      <c r="A82" s="29" t="str">
        <f>A42</f>
        <v>=</v>
      </c>
      <c r="B82" s="29" t="str">
        <f t="shared" si="2"/>
        <v>推定株主価値</v>
      </c>
      <c r="C82" s="30"/>
      <c r="D82" s="37">
        <f>D77-D80-D81</f>
        <v>114185.51510756067</v>
      </c>
    </row>
    <row r="83" spans="1:7" ht="12.75" thickTop="1" x14ac:dyDescent="0.2">
      <c r="A83" s="13"/>
      <c r="B83" s="13"/>
      <c r="C83" s="13"/>
      <c r="D83" s="14"/>
    </row>
    <row r="84" spans="1:7" x14ac:dyDescent="0.2">
      <c r="A84" s="69" t="str">
        <f>A44</f>
        <v>÷</v>
      </c>
      <c r="B84" s="1" t="str">
        <f>B44</f>
        <v>流通株式数</v>
      </c>
      <c r="D84" s="19">
        <f>D44</f>
        <v>1600.5545380000001</v>
      </c>
    </row>
    <row r="85" spans="1:7" ht="12.75" thickBot="1" x14ac:dyDescent="0.25">
      <c r="A85" s="92" t="str">
        <f>A45</f>
        <v>=</v>
      </c>
      <c r="B85" s="92" t="str">
        <f>B45</f>
        <v>推定株価</v>
      </c>
      <c r="C85" s="1"/>
      <c r="D85" s="164">
        <f>D82/D84</f>
        <v>71.341221055949205</v>
      </c>
    </row>
    <row r="86" spans="1:7" ht="12.75" thickTop="1" x14ac:dyDescent="0.2"/>
    <row r="87" spans="1:7" hidden="1" outlineLevel="1" x14ac:dyDescent="0.2">
      <c r="B87" s="131" t="s">
        <v>124</v>
      </c>
      <c r="D87" s="125">
        <f>D85-D45</f>
        <v>0</v>
      </c>
    </row>
    <row r="88" spans="1:7" collapsed="1" x14ac:dyDescent="0.2"/>
    <row r="90" spans="1:7" x14ac:dyDescent="0.2">
      <c r="G90" s="119"/>
    </row>
    <row r="91" spans="1:7" x14ac:dyDescent="0.2">
      <c r="G91" s="119"/>
    </row>
  </sheetData>
  <phoneticPr fontId="3"/>
  <pageMargins left="0.75" right="0.75" top="1" bottom="1" header="0.51200000000000001" footer="0.51200000000000001"/>
  <pageSetup paperSize="9" scale="8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D9"/>
  <sheetViews>
    <sheetView workbookViewId="0">
      <selection activeCell="L27" sqref="L27"/>
    </sheetView>
  </sheetViews>
  <sheetFormatPr defaultRowHeight="15" x14ac:dyDescent="0.25"/>
  <cols>
    <col min="3" max="4" width="9.85546875" bestFit="1" customWidth="1"/>
  </cols>
  <sheetData>
    <row r="3" spans="2:4" x14ac:dyDescent="0.25">
      <c r="B3" t="str">
        <f>DCF!B31</f>
        <v>事業価値</v>
      </c>
      <c r="C3">
        <v>0</v>
      </c>
      <c r="D3" s="127">
        <f>DCF!D31</f>
        <v>112414.51510756066</v>
      </c>
    </row>
    <row r="4" spans="2:4" x14ac:dyDescent="0.25">
      <c r="B4" t="str">
        <f>DCF!B35</f>
        <v>金融資産（簿価）</v>
      </c>
      <c r="C4" s="127">
        <f>C3+D3</f>
        <v>112414.51510756066</v>
      </c>
      <c r="D4" s="127">
        <f>DCF!D35</f>
        <v>5245</v>
      </c>
    </row>
    <row r="5" spans="2:4" x14ac:dyDescent="0.25">
      <c r="B5" t="str">
        <f>DCF!B36</f>
        <v>その他の非事業資産（時価）</v>
      </c>
      <c r="C5" s="127">
        <f t="shared" ref="C5" si="0">C4+D4</f>
        <v>117659.51510756066</v>
      </c>
      <c r="D5" s="127">
        <f>DCF!D36</f>
        <v>0</v>
      </c>
    </row>
    <row r="6" spans="2:4" x14ac:dyDescent="0.25">
      <c r="B6" t="str">
        <f>DCF!B37</f>
        <v>推定企業価値</v>
      </c>
      <c r="C6" s="127"/>
      <c r="D6" s="127">
        <f>DCF!D37</f>
        <v>117659.51510756066</v>
      </c>
    </row>
    <row r="7" spans="2:4" x14ac:dyDescent="0.25">
      <c r="B7" t="str">
        <f>DCF!B40</f>
        <v>有利子負債</v>
      </c>
      <c r="C7" s="127">
        <f>C5-D7</f>
        <v>114185.51510756066</v>
      </c>
      <c r="D7" s="127">
        <f>DCF!D40</f>
        <v>3474</v>
      </c>
    </row>
    <row r="8" spans="2:4" x14ac:dyDescent="0.25">
      <c r="B8" t="str">
        <f>DCF!B41</f>
        <v>少数株主持ち分</v>
      </c>
      <c r="C8" s="127">
        <f>C7-D8</f>
        <v>114185.51510756066</v>
      </c>
      <c r="D8" s="127">
        <f>DCF!D41</f>
        <v>0</v>
      </c>
    </row>
    <row r="9" spans="2:4" x14ac:dyDescent="0.25">
      <c r="B9" t="str">
        <f>DCF!B42</f>
        <v>推定株主価値</v>
      </c>
      <c r="D9" s="127">
        <f>DCF!D42</f>
        <v>114185.51510756066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3"/>
  <sheetViews>
    <sheetView showGridLines="0" workbookViewId="0">
      <selection activeCell="G42" sqref="G42"/>
    </sheetView>
  </sheetViews>
  <sheetFormatPr defaultColWidth="9" defaultRowHeight="12" x14ac:dyDescent="0.25"/>
  <cols>
    <col min="1" max="1" width="21.7109375" style="93" customWidth="1"/>
    <col min="2" max="2" width="2.7109375" style="93" customWidth="1"/>
    <col min="3" max="8" width="11.140625" style="93" customWidth="1"/>
    <col min="9" max="9" width="1.42578125" style="93" customWidth="1"/>
    <col min="10" max="10" width="8" style="93" bestFit="1" customWidth="1"/>
    <col min="11" max="12" width="6.85546875" style="93" bestFit="1" customWidth="1"/>
    <col min="13" max="16384" width="9" style="93"/>
  </cols>
  <sheetData>
    <row r="1" spans="1:12" x14ac:dyDescent="0.25">
      <c r="A1" s="93" t="str">
        <f>'Historical Data Input'!A1</f>
        <v>企業名</v>
      </c>
      <c r="E1" s="93" t="str">
        <f>'Historical Data Input'!D1</f>
        <v>通貨</v>
      </c>
      <c r="F1" s="93" t="str">
        <f>'Historical Data Input'!E1</f>
        <v>ドル</v>
      </c>
    </row>
    <row r="2" spans="1:12" ht="14.25" x14ac:dyDescent="0.25">
      <c r="A2" s="102" t="str">
        <f>'Historical Data Input'!A2</f>
        <v>ナイキ</v>
      </c>
      <c r="B2" s="102"/>
    </row>
    <row r="4" spans="1:12" ht="13.5" x14ac:dyDescent="0.15">
      <c r="A4" s="133" t="s">
        <v>187</v>
      </c>
      <c r="B4" s="133"/>
    </row>
    <row r="5" spans="1:12" ht="15" x14ac:dyDescent="0.25">
      <c r="A5" s="4"/>
      <c r="B5" s="4"/>
    </row>
    <row r="6" spans="1:12" x14ac:dyDescent="0.25">
      <c r="A6" s="93" t="str">
        <f>'Historical Data Input'!H4</f>
        <v>直近年度</v>
      </c>
      <c r="C6" s="94">
        <f>'Historical Data Input'!H5</f>
        <v>2018</v>
      </c>
    </row>
    <row r="7" spans="1:12" x14ac:dyDescent="0.25">
      <c r="A7" s="95" t="str">
        <f>'Historical Data Input'!B13</f>
        <v>当期純利益</v>
      </c>
      <c r="B7" s="95"/>
      <c r="C7" s="96">
        <f>'Historical Data Input'!H13</f>
        <v>1933</v>
      </c>
      <c r="E7" s="159" t="s">
        <v>201</v>
      </c>
      <c r="G7" s="97">
        <f>C7/'Historical Data Input'!$H$70</f>
        <v>1.2077064255588645</v>
      </c>
    </row>
    <row r="8" spans="1:12" x14ac:dyDescent="0.25">
      <c r="A8" s="93" t="str">
        <f>'Historical Data Input'!A43</f>
        <v>株主資本</v>
      </c>
      <c r="C8" s="96">
        <f>'Historical Data Input'!H43</f>
        <v>9812</v>
      </c>
      <c r="E8" s="108" t="s">
        <v>202</v>
      </c>
      <c r="G8" s="97">
        <f>C8/'Historical Data Input'!$H$70</f>
        <v>6.130375296214992</v>
      </c>
    </row>
    <row r="9" spans="1:12" x14ac:dyDescent="0.25">
      <c r="A9" s="93" t="str">
        <f>'Historical Data Input'!B7</f>
        <v>売上高</v>
      </c>
      <c r="C9" s="96">
        <f>'Historical Data Input'!H7</f>
        <v>36397</v>
      </c>
      <c r="E9" s="108" t="s">
        <v>203</v>
      </c>
      <c r="G9" s="97">
        <f>C9/'Historical Data Input'!$H$70</f>
        <v>22.740243544265905</v>
      </c>
    </row>
    <row r="11" spans="1:12" x14ac:dyDescent="0.25">
      <c r="A11" s="108" t="s">
        <v>186</v>
      </c>
      <c r="B11" s="108"/>
      <c r="C11" s="204">
        <f>'Historical Data Input'!D73</f>
        <v>43404</v>
      </c>
    </row>
    <row r="12" spans="1:12" x14ac:dyDescent="0.25">
      <c r="C12" s="95"/>
    </row>
    <row r="13" spans="1:12" x14ac:dyDescent="0.25">
      <c r="A13" s="108" t="s">
        <v>185</v>
      </c>
      <c r="B13" s="108"/>
      <c r="C13" s="198" t="s">
        <v>45</v>
      </c>
      <c r="D13" s="198" t="s">
        <v>46</v>
      </c>
      <c r="E13" s="198" t="s">
        <v>47</v>
      </c>
      <c r="F13" s="198" t="s">
        <v>48</v>
      </c>
      <c r="G13" s="198"/>
      <c r="H13" s="198"/>
      <c r="J13" s="160" t="s">
        <v>147</v>
      </c>
      <c r="K13" s="160" t="s">
        <v>183</v>
      </c>
      <c r="L13" s="160" t="s">
        <v>184</v>
      </c>
    </row>
    <row r="14" spans="1:12" x14ac:dyDescent="0.25">
      <c r="C14" s="98"/>
      <c r="D14" s="98"/>
      <c r="E14" s="98"/>
      <c r="F14" s="98"/>
      <c r="G14" s="98"/>
      <c r="H14" s="98"/>
      <c r="I14" s="98"/>
    </row>
    <row r="15" spans="1:12" x14ac:dyDescent="0.25">
      <c r="A15" s="93" t="s">
        <v>204</v>
      </c>
      <c r="C15" s="98"/>
      <c r="D15" s="98"/>
      <c r="E15" s="98"/>
      <c r="F15" s="98"/>
      <c r="G15" s="98"/>
      <c r="H15" s="98"/>
      <c r="I15" s="98"/>
    </row>
    <row r="16" spans="1:12" x14ac:dyDescent="0.25">
      <c r="A16" s="199" t="s">
        <v>205</v>
      </c>
      <c r="B16" s="202"/>
      <c r="C16" s="200">
        <v>24.6</v>
      </c>
      <c r="D16" s="200"/>
      <c r="E16" s="200">
        <v>60.37</v>
      </c>
      <c r="F16" s="200">
        <v>37.9</v>
      </c>
      <c r="G16" s="200"/>
      <c r="H16" s="200"/>
      <c r="I16" s="99"/>
      <c r="J16" s="170">
        <f>AVERAGE(C16:H16)</f>
        <v>40.956666666666671</v>
      </c>
      <c r="K16" s="170">
        <f>MAX(C16:H16)</f>
        <v>60.37</v>
      </c>
      <c r="L16" s="170">
        <f>MIN(C16:H16)</f>
        <v>24.6</v>
      </c>
    </row>
    <row r="17" spans="1:12" x14ac:dyDescent="0.25">
      <c r="A17" s="199" t="s">
        <v>206</v>
      </c>
      <c r="B17" s="202"/>
      <c r="C17" s="200">
        <v>5.28</v>
      </c>
      <c r="D17" s="200">
        <v>3.16</v>
      </c>
      <c r="E17" s="200">
        <v>1.71</v>
      </c>
      <c r="F17" s="200">
        <v>3.34</v>
      </c>
      <c r="G17" s="200"/>
      <c r="H17" s="200"/>
      <c r="I17" s="99"/>
      <c r="J17" s="170">
        <f>AVERAGE(C17:H17)</f>
        <v>3.3725000000000005</v>
      </c>
      <c r="K17" s="170">
        <f t="shared" ref="K17:K18" si="0">MAX(C17:H17)</f>
        <v>5.28</v>
      </c>
      <c r="L17" s="170">
        <f t="shared" ref="L17:L18" si="1">MIN(C17:H17)</f>
        <v>1.71</v>
      </c>
    </row>
    <row r="18" spans="1:12" x14ac:dyDescent="0.25">
      <c r="A18" s="201" t="s">
        <v>207</v>
      </c>
      <c r="B18" s="203"/>
      <c r="C18" s="200">
        <v>1.61</v>
      </c>
      <c r="D18" s="200">
        <v>1.28</v>
      </c>
      <c r="E18" s="200">
        <v>0.9</v>
      </c>
      <c r="F18" s="200">
        <v>1.31</v>
      </c>
      <c r="G18" s="200"/>
      <c r="H18" s="200"/>
      <c r="I18" s="99"/>
      <c r="J18" s="170">
        <f>AVERAGE(C18:H18)</f>
        <v>1.2749999999999999</v>
      </c>
      <c r="K18" s="170">
        <f t="shared" si="0"/>
        <v>1.61</v>
      </c>
      <c r="L18" s="170">
        <f t="shared" si="1"/>
        <v>0.9</v>
      </c>
    </row>
    <row r="19" spans="1:12" x14ac:dyDescent="0.25">
      <c r="C19" s="99"/>
      <c r="D19" s="99"/>
      <c r="E19" s="99"/>
      <c r="F19" s="99"/>
      <c r="G19" s="99"/>
      <c r="H19" s="99"/>
      <c r="I19" s="99"/>
      <c r="J19" s="100"/>
    </row>
    <row r="20" spans="1:12" x14ac:dyDescent="0.25">
      <c r="A20" s="161" t="s">
        <v>178</v>
      </c>
      <c r="B20" s="161"/>
      <c r="J20" s="103" t="str">
        <f>J13</f>
        <v>平均</v>
      </c>
      <c r="K20" s="103" t="str">
        <f t="shared" ref="K20:L20" si="2">K13</f>
        <v>最大値</v>
      </c>
      <c r="L20" s="103" t="str">
        <f t="shared" si="2"/>
        <v>最小値</v>
      </c>
    </row>
    <row r="21" spans="1:12" x14ac:dyDescent="0.25">
      <c r="A21" s="93" t="str">
        <f>A16</f>
        <v>PER</v>
      </c>
      <c r="C21" s="169">
        <f t="shared" ref="C21:F21" si="3">IF(ISNUMBER(C16),C16*$G7,"")</f>
        <v>29.709578068748069</v>
      </c>
      <c r="D21" s="169" t="str">
        <f t="shared" si="3"/>
        <v/>
      </c>
      <c r="E21" s="169">
        <f t="shared" si="3"/>
        <v>72.909236910988653</v>
      </c>
      <c r="F21" s="169">
        <f t="shared" si="3"/>
        <v>45.772073528680963</v>
      </c>
      <c r="G21" s="169" t="str">
        <f>IF(ISNUMBER(G16),G16*$G7,"")</f>
        <v/>
      </c>
      <c r="H21" s="169" t="str">
        <f>IF(ISNUMBER(H16),H16*$G7,"")</f>
        <v/>
      </c>
      <c r="I21" s="169"/>
      <c r="J21" s="169">
        <f>J16*$G7</f>
        <v>49.463629502805901</v>
      </c>
      <c r="K21" s="169">
        <f t="shared" ref="K21:L21" si="4">K16*$G7</f>
        <v>72.909236910988653</v>
      </c>
      <c r="L21" s="169">
        <f t="shared" si="4"/>
        <v>29.709578068748069</v>
      </c>
    </row>
    <row r="22" spans="1:12" x14ac:dyDescent="0.25">
      <c r="A22" s="93" t="str">
        <f>A17</f>
        <v>PBR</v>
      </c>
      <c r="C22" s="169">
        <f t="shared" ref="C22:G22" si="5">IF(ISNUMBER(C17),C17*$G8,"")</f>
        <v>32.368381564015159</v>
      </c>
      <c r="D22" s="169">
        <f t="shared" si="5"/>
        <v>19.371985936039376</v>
      </c>
      <c r="E22" s="169">
        <f t="shared" si="5"/>
        <v>10.482941756527635</v>
      </c>
      <c r="F22" s="169">
        <f t="shared" si="5"/>
        <v>20.475453489358074</v>
      </c>
      <c r="G22" s="169" t="str">
        <f t="shared" si="5"/>
        <v/>
      </c>
      <c r="H22" s="169" t="str">
        <f>IF(ISNUMBER(H17),H17*$G8,"")</f>
        <v/>
      </c>
      <c r="I22" s="169"/>
      <c r="J22" s="169">
        <f>J17*$G8</f>
        <v>20.674690686485064</v>
      </c>
      <c r="K22" s="169">
        <f t="shared" ref="K22:L22" si="6">K17*$G8</f>
        <v>32.368381564015159</v>
      </c>
      <c r="L22" s="169">
        <f t="shared" si="6"/>
        <v>10.482941756527635</v>
      </c>
    </row>
    <row r="23" spans="1:12" x14ac:dyDescent="0.25">
      <c r="A23" s="93" t="str">
        <f>A18</f>
        <v>売上高倍率</v>
      </c>
      <c r="C23" s="169">
        <f t="shared" ref="C23:G23" si="7">IF(ISNUMBER(C18),C18*$G9,"")</f>
        <v>36.611792106268112</v>
      </c>
      <c r="D23" s="169">
        <f t="shared" si="7"/>
        <v>29.10751173666036</v>
      </c>
      <c r="E23" s="169">
        <f t="shared" si="7"/>
        <v>20.466219189839315</v>
      </c>
      <c r="F23" s="169">
        <f t="shared" si="7"/>
        <v>29.789719042988338</v>
      </c>
      <c r="G23" s="169" t="str">
        <f t="shared" si="7"/>
        <v/>
      </c>
      <c r="H23" s="169" t="str">
        <f>IF(ISNUMBER(H18),H18*$G9,"")</f>
        <v/>
      </c>
      <c r="I23" s="169"/>
      <c r="J23" s="169">
        <f>J18*$G9</f>
        <v>28.993810518939025</v>
      </c>
      <c r="K23" s="169">
        <f t="shared" ref="K23:L23" si="8">K18*$G9</f>
        <v>36.611792106268112</v>
      </c>
      <c r="L23" s="169">
        <f t="shared" si="8"/>
        <v>20.466219189839315</v>
      </c>
    </row>
  </sheetData>
  <phoneticPr fontId="3"/>
  <pageMargins left="0.7" right="0.7" top="0.75" bottom="0.75" header="0.3" footer="0.3"/>
  <pageSetup paperSize="9"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6"/>
  <sheetViews>
    <sheetView showGridLines="0" workbookViewId="0">
      <selection activeCell="K27" sqref="K27"/>
    </sheetView>
  </sheetViews>
  <sheetFormatPr defaultColWidth="8.85546875" defaultRowHeight="12" x14ac:dyDescent="0.25"/>
  <cols>
    <col min="1" max="1" width="10.5703125" style="93" customWidth="1"/>
    <col min="2" max="2" width="10.7109375" style="93" bestFit="1" customWidth="1"/>
    <col min="3" max="3" width="21.7109375" style="93" customWidth="1"/>
    <col min="4" max="4" width="3.7109375" style="93" customWidth="1"/>
    <col min="5" max="5" width="10.28515625" style="93" customWidth="1"/>
    <col min="6" max="6" width="2.140625" style="93" customWidth="1"/>
    <col min="7" max="7" width="10.28515625" style="93" customWidth="1"/>
    <col min="8" max="8" width="1.7109375" style="93" customWidth="1"/>
    <col min="9" max="16384" width="8.85546875" style="93"/>
  </cols>
  <sheetData>
    <row r="1" spans="1:7" x14ac:dyDescent="0.25">
      <c r="A1" s="93" t="str">
        <f>'Historical Data Input'!A1</f>
        <v>企業名</v>
      </c>
    </row>
    <row r="2" spans="1:7" ht="14.25" x14ac:dyDescent="0.25">
      <c r="A2" s="102" t="str">
        <f>'Historical Data Input'!A2</f>
        <v>ナイキ</v>
      </c>
    </row>
    <row r="4" spans="1:7" ht="13.5" x14ac:dyDescent="0.15">
      <c r="A4" s="133" t="s">
        <v>180</v>
      </c>
    </row>
    <row r="5" spans="1:7" x14ac:dyDescent="0.25">
      <c r="E5" s="212" t="s">
        <v>189</v>
      </c>
      <c r="F5" s="213"/>
      <c r="G5" s="213"/>
    </row>
    <row r="6" spans="1:7" x14ac:dyDescent="0.25">
      <c r="E6" s="162" t="s">
        <v>190</v>
      </c>
      <c r="F6" s="103"/>
      <c r="G6" s="162" t="s">
        <v>191</v>
      </c>
    </row>
    <row r="7" spans="1:7" ht="20.25" customHeight="1" x14ac:dyDescent="0.25">
      <c r="A7" s="208" t="s">
        <v>188</v>
      </c>
      <c r="B7" s="104" t="str">
        <f>Multiples!A16</f>
        <v>PER</v>
      </c>
      <c r="C7" s="171">
        <f>Multiples!J21</f>
        <v>49.463629502805901</v>
      </c>
      <c r="D7" s="172"/>
      <c r="E7" s="173">
        <f>Multiples!K21</f>
        <v>72.909236910988653</v>
      </c>
      <c r="F7" s="174" t="s">
        <v>11</v>
      </c>
      <c r="G7" s="173">
        <f>Multiples!L21</f>
        <v>29.709578068748069</v>
      </c>
    </row>
    <row r="8" spans="1:7" ht="20.25" customHeight="1" x14ac:dyDescent="0.25">
      <c r="A8" s="209"/>
      <c r="B8" s="104" t="str">
        <f>Multiples!A17</f>
        <v>PBR</v>
      </c>
      <c r="C8" s="171">
        <f>Multiples!J22</f>
        <v>20.674690686485064</v>
      </c>
      <c r="D8" s="172"/>
      <c r="E8" s="173">
        <f>Multiples!K22</f>
        <v>32.368381564015159</v>
      </c>
      <c r="F8" s="174" t="s">
        <v>5</v>
      </c>
      <c r="G8" s="173">
        <f>Multiples!L22</f>
        <v>10.482941756527635</v>
      </c>
    </row>
    <row r="9" spans="1:7" ht="20.25" customHeight="1" x14ac:dyDescent="0.25">
      <c r="A9" s="209"/>
      <c r="B9" s="104" t="str">
        <f>Multiples!A18</f>
        <v>売上高倍率</v>
      </c>
      <c r="C9" s="171">
        <f>Multiples!J23</f>
        <v>28.993810518939025</v>
      </c>
      <c r="D9" s="172"/>
      <c r="E9" s="173">
        <f>Multiples!K23</f>
        <v>36.611792106268112</v>
      </c>
      <c r="F9" s="174" t="s">
        <v>11</v>
      </c>
      <c r="G9" s="173">
        <f>Multiples!L23</f>
        <v>20.466219189839315</v>
      </c>
    </row>
    <row r="10" spans="1:7" ht="20.25" customHeight="1" x14ac:dyDescent="0.25">
      <c r="A10" s="105" t="s">
        <v>0</v>
      </c>
      <c r="B10" s="105"/>
      <c r="C10" s="171">
        <f>DCF!D45</f>
        <v>71.341221055949205</v>
      </c>
      <c r="D10" s="172"/>
      <c r="E10" s="175"/>
      <c r="F10" s="175"/>
      <c r="G10" s="175"/>
    </row>
    <row r="11" spans="1:7" ht="20.25" customHeight="1" x14ac:dyDescent="0.25">
      <c r="A11" s="105" t="s">
        <v>42</v>
      </c>
      <c r="B11" s="105"/>
      <c r="C11" s="171">
        <f>DCF!D85</f>
        <v>71.341221055949205</v>
      </c>
      <c r="D11" s="172"/>
      <c r="E11" s="172"/>
      <c r="F11" s="172"/>
      <c r="G11" s="172"/>
    </row>
    <row r="12" spans="1:7" x14ac:dyDescent="0.25">
      <c r="A12" s="128"/>
      <c r="B12" s="128"/>
      <c r="C12" s="101"/>
      <c r="D12" s="172"/>
      <c r="E12" s="172"/>
      <c r="F12" s="172"/>
      <c r="G12" s="172"/>
    </row>
    <row r="13" spans="1:7" x14ac:dyDescent="0.25">
      <c r="A13" s="93" t="str">
        <f>'Historical Data Input'!A73</f>
        <v>現時点株価</v>
      </c>
      <c r="C13" s="172"/>
      <c r="D13" s="172"/>
      <c r="E13" s="172"/>
      <c r="F13" s="172"/>
      <c r="G13" s="172"/>
    </row>
    <row r="14" spans="1:7" ht="20.25" customHeight="1" x14ac:dyDescent="0.25">
      <c r="A14" s="210">
        <f>'Historical Data Input'!D73</f>
        <v>43404</v>
      </c>
      <c r="B14" s="211"/>
      <c r="C14" s="173">
        <f>'Historical Data Input'!H73</f>
        <v>74.819999999999993</v>
      </c>
      <c r="D14" s="172"/>
      <c r="E14" s="172"/>
      <c r="F14" s="172"/>
      <c r="G14" s="172"/>
    </row>
    <row r="16" spans="1:7" ht="21.75" customHeight="1" x14ac:dyDescent="0.25">
      <c r="A16" s="108" t="s">
        <v>181</v>
      </c>
      <c r="C16" s="197"/>
      <c r="E16" s="108" t="s">
        <v>182</v>
      </c>
    </row>
  </sheetData>
  <mergeCells count="3">
    <mergeCell ref="A7:A9"/>
    <mergeCell ref="A14:B14"/>
    <mergeCell ref="E5:G5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Historical Data Input</vt:lpstr>
      <vt:lpstr>Drivers&amp;Forecast</vt:lpstr>
      <vt:lpstr>Figures</vt:lpstr>
      <vt:lpstr>WACC</vt:lpstr>
      <vt:lpstr>DCF</vt:lpstr>
      <vt:lpstr>DCF Figure</vt:lpstr>
      <vt:lpstr>Multiples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akashi</dc:creator>
  <cp:lastModifiedBy>阪井 あゆみ</cp:lastModifiedBy>
  <dcterms:created xsi:type="dcterms:W3CDTF">2013-05-05T00:22:24Z</dcterms:created>
  <dcterms:modified xsi:type="dcterms:W3CDTF">2019-07-19T07:05:36Z</dcterms:modified>
</cp:coreProperties>
</file>